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0" yWindow="60" windowWidth="20490" windowHeight="7590" firstSheet="32" activeTab="43"/>
  </bookViews>
  <sheets>
    <sheet name="09.01.2018 " sheetId="59" r:id="rId1"/>
    <sheet name="15.01.2018" sheetId="60" r:id="rId2"/>
    <sheet name="22.01.2018" sheetId="61" r:id="rId3"/>
    <sheet name="29.01.2018" sheetId="62" r:id="rId4"/>
    <sheet name="05.02.2018" sheetId="63" r:id="rId5"/>
    <sheet name="12.02.2018" sheetId="64" r:id="rId6"/>
    <sheet name="19.02.2018" sheetId="65" r:id="rId7"/>
    <sheet name="26.02.2018" sheetId="66" r:id="rId8"/>
    <sheet name="05.03.2018" sheetId="67" r:id="rId9"/>
    <sheet name="12.03.2018" sheetId="68" r:id="rId10"/>
    <sheet name="19.03.2018" sheetId="69" r:id="rId11"/>
    <sheet name="26.03.2018" sheetId="70" r:id="rId12"/>
    <sheet name="02.04.2018" sheetId="71" r:id="rId13"/>
    <sheet name="10.04.2018" sheetId="72" r:id="rId14"/>
    <sheet name="16.04.2018" sheetId="73" r:id="rId15"/>
    <sheet name="23.04.2018 " sheetId="74" r:id="rId16"/>
    <sheet name="02.05.2018" sheetId="75" r:id="rId17"/>
    <sheet name="07.05.2018" sheetId="76" r:id="rId18"/>
    <sheet name="14.05.2018" sheetId="77" r:id="rId19"/>
    <sheet name="21.05.2018" sheetId="78" r:id="rId20"/>
    <sheet name="29.05.2018" sheetId="79" r:id="rId21"/>
    <sheet name="04.06.2018" sheetId="80" r:id="rId22"/>
    <sheet name="11.06.2018" sheetId="81" r:id="rId23"/>
    <sheet name="18.06.2018" sheetId="82" r:id="rId24"/>
    <sheet name="25.06.2018" sheetId="83" r:id="rId25"/>
    <sheet name="02.07.2018" sheetId="84" r:id="rId26"/>
    <sheet name="09.07.2018" sheetId="85" r:id="rId27"/>
    <sheet name="16.07.2018" sheetId="86" r:id="rId28"/>
    <sheet name="23.07.2018" sheetId="87" r:id="rId29"/>
    <sheet name="30.07.2018" sheetId="88" r:id="rId30"/>
    <sheet name="06.08.2018" sheetId="89" r:id="rId31"/>
    <sheet name="13.08.2018" sheetId="90" r:id="rId32"/>
    <sheet name="20.08.2018" sheetId="91" r:id="rId33"/>
    <sheet name="27.08.2018" sheetId="92" r:id="rId34"/>
    <sheet name="03.09.2018" sheetId="93" r:id="rId35"/>
    <sheet name="10.09.2018" sheetId="94" r:id="rId36"/>
    <sheet name="17.09.2018" sheetId="96" r:id="rId37"/>
    <sheet name="24.09.2018" sheetId="95" r:id="rId38"/>
    <sheet name="01.10.2018" sheetId="97" r:id="rId39"/>
    <sheet name="08.10.2018" sheetId="98" r:id="rId40"/>
    <sheet name="16.10.2018" sheetId="99" r:id="rId41"/>
    <sheet name="22.10.2018" sheetId="100" r:id="rId42"/>
    <sheet name="29.10.2018" sheetId="101" r:id="rId43"/>
    <sheet name="05.11.2018" sheetId="102" r:id="rId44"/>
    <sheet name="12.11.2018" sheetId="103" r:id="rId45"/>
    <sheet name="19.11.2018" sheetId="104" r:id="rId46"/>
    <sheet name="26.11.2018" sheetId="105" r:id="rId47"/>
    <sheet name="03.12.2018" sheetId="106" r:id="rId48"/>
    <sheet name="10.12.2018" sheetId="107" r:id="rId49"/>
    <sheet name="17.12.2018" sheetId="109" r:id="rId50"/>
    <sheet name="26.12.2018" sheetId="108" r:id="rId51"/>
    <sheet name="31.12.2018" sheetId="110" r:id="rId52"/>
    <sheet name="Аркуш1" sheetId="39" r:id="rId53"/>
  </sheets>
  <calcPr calcId="145621" iterateDelta="1E-4"/>
</workbook>
</file>

<file path=xl/calcChain.xml><?xml version="1.0" encoding="utf-8"?>
<calcChain xmlns="http://schemas.openxmlformats.org/spreadsheetml/2006/main">
  <c r="O205" i="110"/>
  <c r="O206"/>
  <c r="K205"/>
  <c r="K206"/>
  <c r="O204"/>
  <c r="K204"/>
  <c r="L144" l="1"/>
  <c r="L199"/>
  <c r="L185"/>
  <c r="P161"/>
  <c r="L160"/>
  <c r="L155"/>
  <c r="K155" s="1"/>
  <c r="L152"/>
  <c r="L123"/>
  <c r="P108"/>
  <c r="L114"/>
  <c r="K114" s="1"/>
  <c r="L108"/>
  <c r="P99"/>
  <c r="L89"/>
  <c r="L85"/>
  <c r="L73"/>
  <c r="L72"/>
  <c r="L61"/>
  <c r="L40"/>
  <c r="L29"/>
  <c r="L20"/>
  <c r="P89"/>
  <c r="O89" s="1"/>
  <c r="P85"/>
  <c r="O85" s="1"/>
  <c r="L184"/>
  <c r="L168"/>
  <c r="K168" s="1"/>
  <c r="L42"/>
  <c r="L207"/>
  <c r="L201"/>
  <c r="L194"/>
  <c r="L192"/>
  <c r="L187"/>
  <c r="L182"/>
  <c r="L180"/>
  <c r="L177"/>
  <c r="K177" s="1"/>
  <c r="L176"/>
  <c r="L149"/>
  <c r="L143"/>
  <c r="L141"/>
  <c r="L137"/>
  <c r="L135"/>
  <c r="L133"/>
  <c r="K133"/>
  <c r="L131"/>
  <c r="K131" s="1"/>
  <c r="L129"/>
  <c r="L127"/>
  <c r="K127" s="1"/>
  <c r="L121"/>
  <c r="K121" s="1"/>
  <c r="L117"/>
  <c r="L105"/>
  <c r="L104"/>
  <c r="L98"/>
  <c r="L94"/>
  <c r="L87"/>
  <c r="K87" s="1"/>
  <c r="L79"/>
  <c r="K79" s="1"/>
  <c r="L75"/>
  <c r="L70"/>
  <c r="L68"/>
  <c r="L67"/>
  <c r="L65"/>
  <c r="L63"/>
  <c r="K63" s="1"/>
  <c r="L62"/>
  <c r="K62" s="1"/>
  <c r="L52"/>
  <c r="L50"/>
  <c r="K50" s="1"/>
  <c r="L44"/>
  <c r="L34"/>
  <c r="L28"/>
  <c r="L16"/>
  <c r="L12"/>
  <c r="P201"/>
  <c r="P199"/>
  <c r="P192"/>
  <c r="P187"/>
  <c r="P185"/>
  <c r="P182"/>
  <c r="O182" s="1"/>
  <c r="P180"/>
  <c r="P160"/>
  <c r="P155"/>
  <c r="P144"/>
  <c r="P143"/>
  <c r="P137"/>
  <c r="O137" s="1"/>
  <c r="P135"/>
  <c r="O135" s="1"/>
  <c r="P133"/>
  <c r="O133" s="1"/>
  <c r="P131"/>
  <c r="P129"/>
  <c r="P121"/>
  <c r="P117"/>
  <c r="P87"/>
  <c r="O87" s="1"/>
  <c r="P79"/>
  <c r="P75"/>
  <c r="O75" s="1"/>
  <c r="P73"/>
  <c r="P70"/>
  <c r="P67"/>
  <c r="P62"/>
  <c r="P65"/>
  <c r="P55"/>
  <c r="P52"/>
  <c r="P48"/>
  <c r="P44"/>
  <c r="P42"/>
  <c r="O42" s="1"/>
  <c r="P38"/>
  <c r="P40"/>
  <c r="O40"/>
  <c r="P34"/>
  <c r="P31"/>
  <c r="P23"/>
  <c r="P20"/>
  <c r="P16"/>
  <c r="O16" s="1"/>
  <c r="P12"/>
  <c r="P176"/>
  <c r="P139"/>
  <c r="O139" s="1"/>
  <c r="P36"/>
  <c r="O36" s="1"/>
  <c r="P94"/>
  <c r="P81"/>
  <c r="P63"/>
  <c r="O31"/>
  <c r="P14"/>
  <c r="O192"/>
  <c r="O180"/>
  <c r="M213"/>
  <c r="N210"/>
  <c r="M210"/>
  <c r="J210"/>
  <c r="I210"/>
  <c r="H210"/>
  <c r="O209"/>
  <c r="K209"/>
  <c r="O208"/>
  <c r="K208"/>
  <c r="O207"/>
  <c r="K207"/>
  <c r="O203"/>
  <c r="K203"/>
  <c r="O202"/>
  <c r="K202"/>
  <c r="O201"/>
  <c r="K201"/>
  <c r="O200"/>
  <c r="K200"/>
  <c r="O199"/>
  <c r="K199"/>
  <c r="O198"/>
  <c r="K198"/>
  <c r="O197"/>
  <c r="K197"/>
  <c r="O196"/>
  <c r="K196"/>
  <c r="O195"/>
  <c r="K195"/>
  <c r="O194"/>
  <c r="K194"/>
  <c r="O193"/>
  <c r="K193"/>
  <c r="K192"/>
  <c r="O191"/>
  <c r="K191"/>
  <c r="P190"/>
  <c r="O190"/>
  <c r="K190"/>
  <c r="O189"/>
  <c r="K189"/>
  <c r="O188"/>
  <c r="K188"/>
  <c r="O187"/>
  <c r="K187"/>
  <c r="O186"/>
  <c r="K186"/>
  <c r="O185"/>
  <c r="K185"/>
  <c r="O184"/>
  <c r="K184"/>
  <c r="O183"/>
  <c r="K183"/>
  <c r="K182"/>
  <c r="O181"/>
  <c r="K181"/>
  <c r="K180"/>
  <c r="O179"/>
  <c r="K179"/>
  <c r="O178"/>
  <c r="K178"/>
  <c r="O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O154"/>
  <c r="K154"/>
  <c r="O153"/>
  <c r="K153"/>
  <c r="P152"/>
  <c r="O152" s="1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K139"/>
  <c r="O138"/>
  <c r="K138"/>
  <c r="K137"/>
  <c r="O136"/>
  <c r="K136"/>
  <c r="K135"/>
  <c r="O134"/>
  <c r="K134"/>
  <c r="O132"/>
  <c r="K132"/>
  <c r="O131"/>
  <c r="O130"/>
  <c r="K130"/>
  <c r="O129"/>
  <c r="K129"/>
  <c r="O128"/>
  <c r="K128"/>
  <c r="O127"/>
  <c r="O126"/>
  <c r="K126"/>
  <c r="O125"/>
  <c r="K125"/>
  <c r="O124"/>
  <c r="K124"/>
  <c r="O123"/>
  <c r="K123"/>
  <c r="O122"/>
  <c r="K122"/>
  <c r="O121"/>
  <c r="O120"/>
  <c r="K120"/>
  <c r="O119"/>
  <c r="K119"/>
  <c r="O118"/>
  <c r="K118"/>
  <c r="O117"/>
  <c r="K117"/>
  <c r="O116"/>
  <c r="K116"/>
  <c r="O115"/>
  <c r="K115"/>
  <c r="O114"/>
  <c r="O113"/>
  <c r="K113"/>
  <c r="O112"/>
  <c r="K112"/>
  <c r="O111"/>
  <c r="K111"/>
  <c r="O110"/>
  <c r="K110"/>
  <c r="O109"/>
  <c r="K109"/>
  <c r="O108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K89"/>
  <c r="O88"/>
  <c r="K88"/>
  <c r="O86"/>
  <c r="K86"/>
  <c r="K85"/>
  <c r="O84"/>
  <c r="K84"/>
  <c r="O83"/>
  <c r="K83"/>
  <c r="O82"/>
  <c r="K82"/>
  <c r="O81"/>
  <c r="K81"/>
  <c r="O80"/>
  <c r="K80"/>
  <c r="O79"/>
  <c r="O78"/>
  <c r="K78"/>
  <c r="O77"/>
  <c r="K77"/>
  <c r="O76"/>
  <c r="K76"/>
  <c r="K75"/>
  <c r="O74"/>
  <c r="K74"/>
  <c r="O73"/>
  <c r="K73"/>
  <c r="O72"/>
  <c r="K72"/>
  <c r="O71"/>
  <c r="K71"/>
  <c r="O70"/>
  <c r="K70"/>
  <c r="O69"/>
  <c r="K69"/>
  <c r="P68"/>
  <c r="O68"/>
  <c r="K68"/>
  <c r="O67"/>
  <c r="K67"/>
  <c r="O66"/>
  <c r="K66"/>
  <c r="O65"/>
  <c r="K65"/>
  <c r="O64"/>
  <c r="K64"/>
  <c r="O63"/>
  <c r="O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O49"/>
  <c r="K49"/>
  <c r="O48"/>
  <c r="K48"/>
  <c r="O47"/>
  <c r="K47"/>
  <c r="P46"/>
  <c r="O46" s="1"/>
  <c r="K46"/>
  <c r="O45"/>
  <c r="K45"/>
  <c r="O44"/>
  <c r="K44"/>
  <c r="O43"/>
  <c r="K43"/>
  <c r="K42"/>
  <c r="O41"/>
  <c r="K41"/>
  <c r="K40"/>
  <c r="O39"/>
  <c r="K39"/>
  <c r="O38"/>
  <c r="L38"/>
  <c r="K38" s="1"/>
  <c r="O37"/>
  <c r="K37"/>
  <c r="K36"/>
  <c r="O35"/>
  <c r="K35"/>
  <c r="O34"/>
  <c r="K34"/>
  <c r="O33"/>
  <c r="K33"/>
  <c r="O32"/>
  <c r="K32"/>
  <c r="L31"/>
  <c r="K31" s="1"/>
  <c r="O30"/>
  <c r="K30"/>
  <c r="P29"/>
  <c r="O29" s="1"/>
  <c r="K29"/>
  <c r="P28"/>
  <c r="O28"/>
  <c r="K28"/>
  <c r="O27"/>
  <c r="K27"/>
  <c r="O26"/>
  <c r="K26"/>
  <c r="O25"/>
  <c r="K25"/>
  <c r="O24"/>
  <c r="K24"/>
  <c r="O23"/>
  <c r="K23"/>
  <c r="O22"/>
  <c r="K22"/>
  <c r="O21"/>
  <c r="K21"/>
  <c r="O20"/>
  <c r="L213"/>
  <c r="O19"/>
  <c r="K19"/>
  <c r="O18"/>
  <c r="K18"/>
  <c r="O17"/>
  <c r="K17"/>
  <c r="K16"/>
  <c r="O15"/>
  <c r="K15"/>
  <c r="O14"/>
  <c r="K14"/>
  <c r="O13"/>
  <c r="K13"/>
  <c r="Q213"/>
  <c r="O12"/>
  <c r="K12"/>
  <c r="O11"/>
  <c r="K11"/>
  <c r="P10"/>
  <c r="O10" s="1"/>
  <c r="K10"/>
  <c r="J9"/>
  <c r="K9" s="1"/>
  <c r="L9" s="1"/>
  <c r="M9" s="1"/>
  <c r="N9" s="1"/>
  <c r="O9" s="1"/>
  <c r="P9" s="1"/>
  <c r="Q9" s="1"/>
  <c r="I9"/>
  <c r="C9"/>
  <c r="D9" s="1"/>
  <c r="E9" s="1"/>
  <c r="F9" s="1"/>
  <c r="G9" s="1"/>
  <c r="B9"/>
  <c r="O213" l="1"/>
  <c r="O210"/>
  <c r="M216"/>
  <c r="O216" s="1"/>
  <c r="L210"/>
  <c r="P210"/>
  <c r="P213"/>
  <c r="K20"/>
  <c r="K210" s="1"/>
  <c r="Q210"/>
  <c r="O216" i="108"/>
  <c r="M216"/>
  <c r="K213" i="110" l="1"/>
  <c r="L217" s="1"/>
  <c r="K220" s="1"/>
  <c r="L217" i="108"/>
  <c r="K220" s="1"/>
  <c r="M213"/>
  <c r="O213"/>
  <c r="P213"/>
  <c r="Q213"/>
  <c r="K213"/>
  <c r="L213"/>
  <c r="Q108" l="1"/>
  <c r="Q89"/>
  <c r="Q85"/>
  <c r="Q201"/>
  <c r="Q199"/>
  <c r="Q192"/>
  <c r="Q187"/>
  <c r="Q185"/>
  <c r="Q182"/>
  <c r="Q180"/>
  <c r="Q160"/>
  <c r="Q155"/>
  <c r="Q144"/>
  <c r="Q143"/>
  <c r="Q137"/>
  <c r="Q135"/>
  <c r="Q133"/>
  <c r="Q131"/>
  <c r="Q129"/>
  <c r="Q121"/>
  <c r="Q117"/>
  <c r="Q87"/>
  <c r="Q79"/>
  <c r="Q75"/>
  <c r="Q73"/>
  <c r="Q70"/>
  <c r="Q67"/>
  <c r="Q62"/>
  <c r="Q65"/>
  <c r="Q55"/>
  <c r="Q52"/>
  <c r="Q48"/>
  <c r="Q44"/>
  <c r="Q42"/>
  <c r="Q38"/>
  <c r="Q40"/>
  <c r="Q34"/>
  <c r="Q31"/>
  <c r="Q23"/>
  <c r="Q20"/>
  <c r="Q16"/>
  <c r="Q12"/>
  <c r="Q176"/>
  <c r="Q139"/>
  <c r="Q81"/>
  <c r="Q63"/>
  <c r="Q14"/>
  <c r="K139"/>
  <c r="K141"/>
  <c r="Q36"/>
  <c r="P12"/>
  <c r="N210" i="109"/>
  <c r="M210"/>
  <c r="J210"/>
  <c r="I210"/>
  <c r="H210"/>
  <c r="O209"/>
  <c r="K209"/>
  <c r="O208"/>
  <c r="K208"/>
  <c r="O207"/>
  <c r="L207"/>
  <c r="K207" s="1"/>
  <c r="K206"/>
  <c r="O203"/>
  <c r="K203"/>
  <c r="O202"/>
  <c r="K202"/>
  <c r="P201"/>
  <c r="O201"/>
  <c r="L201"/>
  <c r="K201"/>
  <c r="O200"/>
  <c r="K200"/>
  <c r="P199"/>
  <c r="O199"/>
  <c r="L199"/>
  <c r="K199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/>
  <c r="L185"/>
  <c r="K185"/>
  <c r="P184"/>
  <c r="O184"/>
  <c r="K184"/>
  <c r="O183"/>
  <c r="K183"/>
  <c r="O182"/>
  <c r="L182"/>
  <c r="K182"/>
  <c r="O181"/>
  <c r="K181"/>
  <c r="P180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K160"/>
  <c r="O159"/>
  <c r="K159"/>
  <c r="O158"/>
  <c r="K158"/>
  <c r="O157"/>
  <c r="K157"/>
  <c r="O156"/>
  <c r="K156"/>
  <c r="O155"/>
  <c r="K155"/>
  <c r="O154"/>
  <c r="K154"/>
  <c r="O153"/>
  <c r="K153"/>
  <c r="P152"/>
  <c r="O152"/>
  <c r="L152"/>
  <c r="K152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/>
  <c r="L143"/>
  <c r="K143"/>
  <c r="O142"/>
  <c r="K142"/>
  <c r="O141"/>
  <c r="L141"/>
  <c r="K141" s="1"/>
  <c r="O140"/>
  <c r="K140"/>
  <c r="P139"/>
  <c r="O139" s="1"/>
  <c r="K139"/>
  <c r="O138"/>
  <c r="K138"/>
  <c r="P137"/>
  <c r="O137"/>
  <c r="K137"/>
  <c r="O136"/>
  <c r="K136"/>
  <c r="P135"/>
  <c r="O135" s="1"/>
  <c r="L135"/>
  <c r="K135" s="1"/>
  <c r="O134"/>
  <c r="K134"/>
  <c r="O133"/>
  <c r="L133"/>
  <c r="K133"/>
  <c r="O132"/>
  <c r="K132"/>
  <c r="P131"/>
  <c r="O131"/>
  <c r="L131"/>
  <c r="K13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/>
  <c r="L121"/>
  <c r="K121"/>
  <c r="O120"/>
  <c r="K120"/>
  <c r="O119"/>
  <c r="K119"/>
  <c r="O118"/>
  <c r="K118"/>
  <c r="P117"/>
  <c r="O117"/>
  <c r="L117"/>
  <c r="K117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/>
  <c r="O104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/>
  <c r="L89"/>
  <c r="K89"/>
  <c r="O88"/>
  <c r="K88"/>
  <c r="P87"/>
  <c r="O87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O75"/>
  <c r="K75"/>
  <c r="O74"/>
  <c r="K74"/>
  <c r="Q73"/>
  <c r="P73"/>
  <c r="O73"/>
  <c r="K73"/>
  <c r="O72"/>
  <c r="L72"/>
  <c r="K72"/>
  <c r="O71"/>
  <c r="K71"/>
  <c r="P70"/>
  <c r="O70"/>
  <c r="K70"/>
  <c r="O69"/>
  <c r="K69"/>
  <c r="P68"/>
  <c r="O68" s="1"/>
  <c r="L68"/>
  <c r="K68" s="1"/>
  <c r="O67"/>
  <c r="K67"/>
  <c r="O66"/>
  <c r="K66"/>
  <c r="P65"/>
  <c r="O65" s="1"/>
  <c r="K65"/>
  <c r="O64"/>
  <c r="K64"/>
  <c r="P63"/>
  <c r="O63"/>
  <c r="L63"/>
  <c r="K63"/>
  <c r="P62"/>
  <c r="O62"/>
  <c r="L62"/>
  <c r="K62"/>
  <c r="O61"/>
  <c r="L61"/>
  <c r="K61" s="1"/>
  <c r="O60"/>
  <c r="K60"/>
  <c r="O59"/>
  <c r="K59"/>
  <c r="O58"/>
  <c r="K58"/>
  <c r="O57"/>
  <c r="K57"/>
  <c r="O56"/>
  <c r="K56"/>
  <c r="Q55"/>
  <c r="Q210" s="1"/>
  <c r="K55"/>
  <c r="O54"/>
  <c r="K54"/>
  <c r="O53"/>
  <c r="K53"/>
  <c r="P52"/>
  <c r="O52"/>
  <c r="L52"/>
  <c r="K52"/>
  <c r="O51"/>
  <c r="K51"/>
  <c r="O50"/>
  <c r="L50"/>
  <c r="K50" s="1"/>
  <c r="O49"/>
  <c r="K49"/>
  <c r="P48"/>
  <c r="O48" s="1"/>
  <c r="K48"/>
  <c r="O47"/>
  <c r="K47"/>
  <c r="P46"/>
  <c r="O46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/>
  <c r="L38"/>
  <c r="K38"/>
  <c r="O37"/>
  <c r="K37"/>
  <c r="P36"/>
  <c r="O36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/>
  <c r="L28"/>
  <c r="K28"/>
  <c r="O27"/>
  <c r="K27"/>
  <c r="O26"/>
  <c r="K26"/>
  <c r="O25"/>
  <c r="K25"/>
  <c r="O24"/>
  <c r="K24"/>
  <c r="P23"/>
  <c r="O23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K16"/>
  <c r="O15"/>
  <c r="K15"/>
  <c r="O14"/>
  <c r="K14"/>
  <c r="O13"/>
  <c r="K13"/>
  <c r="O12"/>
  <c r="K12"/>
  <c r="O11"/>
  <c r="K11"/>
  <c r="P10"/>
  <c r="P210" s="1"/>
  <c r="O10"/>
  <c r="K10"/>
  <c r="K210" s="1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10" l="1"/>
  <c r="O55"/>
  <c r="O210" s="1"/>
  <c r="N210" i="108" l="1"/>
  <c r="M210"/>
  <c r="J210"/>
  <c r="I210"/>
  <c r="H210"/>
  <c r="O209"/>
  <c r="K209"/>
  <c r="O208"/>
  <c r="K208"/>
  <c r="O207"/>
  <c r="L207"/>
  <c r="K207" s="1"/>
  <c r="K206"/>
  <c r="O203"/>
  <c r="K203"/>
  <c r="O202"/>
  <c r="K202"/>
  <c r="P201"/>
  <c r="O201"/>
  <c r="L201"/>
  <c r="K201"/>
  <c r="O200"/>
  <c r="K200"/>
  <c r="P199"/>
  <c r="O199"/>
  <c r="L199"/>
  <c r="K199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/>
  <c r="L185"/>
  <c r="K185"/>
  <c r="O184"/>
  <c r="K184"/>
  <c r="O183"/>
  <c r="K183"/>
  <c r="O182"/>
  <c r="L182"/>
  <c r="K182"/>
  <c r="O181"/>
  <c r="K181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O144"/>
  <c r="K144"/>
  <c r="P143"/>
  <c r="O143" s="1"/>
  <c r="L143"/>
  <c r="K143" s="1"/>
  <c r="O142"/>
  <c r="K142"/>
  <c r="O141"/>
  <c r="L141"/>
  <c r="O140"/>
  <c r="K140"/>
  <c r="P139"/>
  <c r="O139" s="1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K114"/>
  <c r="O113"/>
  <c r="K113"/>
  <c r="O112"/>
  <c r="K112"/>
  <c r="O111"/>
  <c r="K111"/>
  <c r="O110"/>
  <c r="K110"/>
  <c r="O109"/>
  <c r="K109"/>
  <c r="P108"/>
  <c r="O108" s="1"/>
  <c r="K108"/>
  <c r="O107"/>
  <c r="K107"/>
  <c r="O106"/>
  <c r="K106"/>
  <c r="O105"/>
  <c r="L105"/>
  <c r="K105"/>
  <c r="O104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O94"/>
  <c r="K94"/>
  <c r="O93"/>
  <c r="K93"/>
  <c r="O92"/>
  <c r="K92"/>
  <c r="O91"/>
  <c r="K91"/>
  <c r="O90"/>
  <c r="K90"/>
  <c r="P89"/>
  <c r="O89"/>
  <c r="K89"/>
  <c r="O88"/>
  <c r="K88"/>
  <c r="P87"/>
  <c r="O87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O75"/>
  <c r="K75"/>
  <c r="O74"/>
  <c r="K74"/>
  <c r="K73"/>
  <c r="O72"/>
  <c r="K72"/>
  <c r="O71"/>
  <c r="K71"/>
  <c r="O70"/>
  <c r="K70"/>
  <c r="O69"/>
  <c r="K69"/>
  <c r="P68"/>
  <c r="O68" s="1"/>
  <c r="L68"/>
  <c r="K68" s="1"/>
  <c r="O67"/>
  <c r="K67"/>
  <c r="O66"/>
  <c r="K66"/>
  <c r="P65"/>
  <c r="O65" s="1"/>
  <c r="K65"/>
  <c r="O64"/>
  <c r="K64"/>
  <c r="P63"/>
  <c r="O63" s="1"/>
  <c r="L63"/>
  <c r="K63" s="1"/>
  <c r="P62"/>
  <c r="O62" s="1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/>
  <c r="L38"/>
  <c r="K38"/>
  <c r="O37"/>
  <c r="K37"/>
  <c r="P36"/>
  <c r="O36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6"/>
  <c r="K26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P10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73" l="1"/>
  <c r="O210" s="1"/>
  <c r="Q210"/>
  <c r="K210"/>
  <c r="L210"/>
  <c r="P210"/>
  <c r="Q208" i="107"/>
  <c r="N208"/>
  <c r="M208"/>
  <c r="J208"/>
  <c r="I208"/>
  <c r="H208"/>
  <c r="O207"/>
  <c r="K207"/>
  <c r="O206"/>
  <c r="K206"/>
  <c r="O205"/>
  <c r="L205"/>
  <c r="K205" s="1"/>
  <c r="K204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K160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O104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O75"/>
  <c r="K75"/>
  <c r="O74"/>
  <c r="K74"/>
  <c r="P73"/>
  <c r="O73" s="1"/>
  <c r="K73"/>
  <c r="O72"/>
  <c r="L72"/>
  <c r="K72" s="1"/>
  <c r="O71"/>
  <c r="K71"/>
  <c r="P70"/>
  <c r="O70" s="1"/>
  <c r="K70"/>
  <c r="O69"/>
  <c r="K69"/>
  <c r="P68"/>
  <c r="O68" s="1"/>
  <c r="L68"/>
  <c r="K68" s="1"/>
  <c r="O67"/>
  <c r="K67"/>
  <c r="O66"/>
  <c r="K66"/>
  <c r="P65"/>
  <c r="O65" s="1"/>
  <c r="K65"/>
  <c r="O64"/>
  <c r="K64"/>
  <c r="P63"/>
  <c r="O63" s="1"/>
  <c r="L63"/>
  <c r="K63" s="1"/>
  <c r="P62"/>
  <c r="O62" s="1"/>
  <c r="L62"/>
  <c r="K62" s="1"/>
  <c r="O61"/>
  <c r="L61"/>
  <c r="K61" s="1"/>
  <c r="O60"/>
  <c r="K60"/>
  <c r="O59"/>
  <c r="K59"/>
  <c r="O58"/>
  <c r="K58"/>
  <c r="O57"/>
  <c r="K57"/>
  <c r="O56"/>
  <c r="K56"/>
  <c r="O55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/>
  <c r="L28"/>
  <c r="K28"/>
  <c r="O27"/>
  <c r="K27"/>
  <c r="O26"/>
  <c r="K26"/>
  <c r="O25"/>
  <c r="K25"/>
  <c r="O24"/>
  <c r="K24"/>
  <c r="P23"/>
  <c r="O23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K16"/>
  <c r="O15"/>
  <c r="K15"/>
  <c r="O14"/>
  <c r="K14"/>
  <c r="O13"/>
  <c r="K13"/>
  <c r="O12"/>
  <c r="K12"/>
  <c r="O11"/>
  <c r="K11"/>
  <c r="P10"/>
  <c r="P208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8" l="1"/>
  <c r="O10"/>
  <c r="O208" s="1"/>
  <c r="L208"/>
  <c r="Q208" i="106"/>
  <c r="N208"/>
  <c r="M208"/>
  <c r="J208"/>
  <c r="I208"/>
  <c r="H208"/>
  <c r="O207"/>
  <c r="K207"/>
  <c r="O206"/>
  <c r="K206"/>
  <c r="O205"/>
  <c r="L205"/>
  <c r="K205" s="1"/>
  <c r="K204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K160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O104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O75"/>
  <c r="K75"/>
  <c r="O74"/>
  <c r="K74"/>
  <c r="P73"/>
  <c r="O73" s="1"/>
  <c r="K73"/>
  <c r="O72"/>
  <c r="L72"/>
  <c r="K72" s="1"/>
  <c r="O71"/>
  <c r="K71"/>
  <c r="P70"/>
  <c r="O70" s="1"/>
  <c r="K70"/>
  <c r="O69"/>
  <c r="K69"/>
  <c r="P68"/>
  <c r="O68" s="1"/>
  <c r="L68"/>
  <c r="K68" s="1"/>
  <c r="O67"/>
  <c r="K67"/>
  <c r="O66"/>
  <c r="K66"/>
  <c r="P65"/>
  <c r="O65" s="1"/>
  <c r="K65"/>
  <c r="O64"/>
  <c r="K64"/>
  <c r="P63"/>
  <c r="O63" s="1"/>
  <c r="L63"/>
  <c r="K63" s="1"/>
  <c r="P62"/>
  <c r="O62" s="1"/>
  <c r="L62"/>
  <c r="K62" s="1"/>
  <c r="O61"/>
  <c r="L61"/>
  <c r="K61" s="1"/>
  <c r="O60"/>
  <c r="K60"/>
  <c r="O59"/>
  <c r="K59"/>
  <c r="O58"/>
  <c r="K58"/>
  <c r="O57"/>
  <c r="K57"/>
  <c r="O56"/>
  <c r="K56"/>
  <c r="O55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/>
  <c r="L38"/>
  <c r="K38"/>
  <c r="O37"/>
  <c r="K37"/>
  <c r="P36"/>
  <c r="O36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6"/>
  <c r="K26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K16"/>
  <c r="O15"/>
  <c r="K15"/>
  <c r="O14"/>
  <c r="K14"/>
  <c r="O13"/>
  <c r="K13"/>
  <c r="O12"/>
  <c r="K12"/>
  <c r="O11"/>
  <c r="K11"/>
  <c r="P10"/>
  <c r="O10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K208"/>
  <c r="O208"/>
  <c r="L208"/>
  <c r="O26" i="105"/>
  <c r="K26"/>
  <c r="K204" l="1"/>
  <c r="Q208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/>
  <c r="O193"/>
  <c r="K193"/>
  <c r="P192"/>
  <c r="O192"/>
  <c r="L192"/>
  <c r="K192"/>
  <c r="O191"/>
  <c r="K191"/>
  <c r="P190"/>
  <c r="O190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K160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O104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O75"/>
  <c r="K75"/>
  <c r="O74"/>
  <c r="K74"/>
  <c r="P73"/>
  <c r="O73" s="1"/>
  <c r="K73"/>
  <c r="O72"/>
  <c r="L72"/>
  <c r="K72" s="1"/>
  <c r="O71"/>
  <c r="K71"/>
  <c r="P70"/>
  <c r="O70" s="1"/>
  <c r="K70"/>
  <c r="O69"/>
  <c r="K69"/>
  <c r="P68"/>
  <c r="O68" s="1"/>
  <c r="L68"/>
  <c r="K68" s="1"/>
  <c r="O67"/>
  <c r="K67"/>
  <c r="O66"/>
  <c r="K66"/>
  <c r="P65"/>
  <c r="O65" s="1"/>
  <c r="K65"/>
  <c r="O64"/>
  <c r="K64"/>
  <c r="P63"/>
  <c r="O63" s="1"/>
  <c r="L63"/>
  <c r="K63" s="1"/>
  <c r="P62"/>
  <c r="O62" s="1"/>
  <c r="L62"/>
  <c r="K62" s="1"/>
  <c r="O61"/>
  <c r="L61"/>
  <c r="K61" s="1"/>
  <c r="O60"/>
  <c r="K60"/>
  <c r="O59"/>
  <c r="K59"/>
  <c r="O58"/>
  <c r="K58"/>
  <c r="O57"/>
  <c r="K57"/>
  <c r="O56"/>
  <c r="K56"/>
  <c r="O55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K16"/>
  <c r="O15"/>
  <c r="K15"/>
  <c r="O14"/>
  <c r="K14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O10"/>
  <c r="O208"/>
  <c r="K208"/>
  <c r="L208"/>
  <c r="Q208" i="104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/>
  <c r="L160"/>
  <c r="K160"/>
  <c r="O159"/>
  <c r="K159"/>
  <c r="O158"/>
  <c r="K158"/>
  <c r="O157"/>
  <c r="K157"/>
  <c r="O156"/>
  <c r="K156"/>
  <c r="O155"/>
  <c r="K155"/>
  <c r="O154"/>
  <c r="K154"/>
  <c r="O153"/>
  <c r="K153"/>
  <c r="P152"/>
  <c r="O152"/>
  <c r="L152"/>
  <c r="K152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/>
  <c r="L143"/>
  <c r="K143"/>
  <c r="O142"/>
  <c r="K142"/>
  <c r="O141"/>
  <c r="L141"/>
  <c r="K141" s="1"/>
  <c r="O140"/>
  <c r="K140"/>
  <c r="P139"/>
  <c r="O139" s="1"/>
  <c r="K139"/>
  <c r="O138"/>
  <c r="K138"/>
  <c r="P137"/>
  <c r="O137"/>
  <c r="K137"/>
  <c r="O136"/>
  <c r="K136"/>
  <c r="P135"/>
  <c r="O135" s="1"/>
  <c r="L135"/>
  <c r="K135" s="1"/>
  <c r="O134"/>
  <c r="K134"/>
  <c r="O133"/>
  <c r="L133"/>
  <c r="K133"/>
  <c r="O132"/>
  <c r="K132"/>
  <c r="P131"/>
  <c r="O131"/>
  <c r="L131"/>
  <c r="K131"/>
  <c r="O130"/>
  <c r="K130"/>
  <c r="P129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/>
  <c r="O113"/>
  <c r="K113"/>
  <c r="O112"/>
  <c r="K112"/>
  <c r="O111"/>
  <c r="K111"/>
  <c r="O110"/>
  <c r="K110"/>
  <c r="O109"/>
  <c r="K109"/>
  <c r="P108"/>
  <c r="O108"/>
  <c r="L108"/>
  <c r="K108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/>
  <c r="L89"/>
  <c r="K89"/>
  <c r="O88"/>
  <c r="K88"/>
  <c r="P87"/>
  <c r="O87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/>
  <c r="O71"/>
  <c r="K71"/>
  <c r="P70"/>
  <c r="O70"/>
  <c r="L70"/>
  <c r="K70"/>
  <c r="O69"/>
  <c r="K69"/>
  <c r="P68"/>
  <c r="O68"/>
  <c r="L68"/>
  <c r="K68"/>
  <c r="O67"/>
  <c r="K67"/>
  <c r="O66"/>
  <c r="K66"/>
  <c r="P65"/>
  <c r="O65"/>
  <c r="K65"/>
  <c r="O64"/>
  <c r="K64"/>
  <c r="P63"/>
  <c r="O63" s="1"/>
  <c r="L63"/>
  <c r="K63" s="1"/>
  <c r="P62"/>
  <c r="O62" s="1"/>
  <c r="L62"/>
  <c r="K62" s="1"/>
  <c r="O61"/>
  <c r="L61"/>
  <c r="K61"/>
  <c r="O60"/>
  <c r="K60"/>
  <c r="O59"/>
  <c r="K59"/>
  <c r="O58"/>
  <c r="K58"/>
  <c r="O57"/>
  <c r="K57"/>
  <c r="O56"/>
  <c r="K56"/>
  <c r="P55"/>
  <c r="O55"/>
  <c r="K55"/>
  <c r="O54"/>
  <c r="K54"/>
  <c r="O53"/>
  <c r="K53"/>
  <c r="P52"/>
  <c r="O52" s="1"/>
  <c r="L52"/>
  <c r="K52" s="1"/>
  <c r="O51"/>
  <c r="K51"/>
  <c r="O50"/>
  <c r="L50"/>
  <c r="K50"/>
  <c r="O49"/>
  <c r="K49"/>
  <c r="P48"/>
  <c r="O48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O13"/>
  <c r="K13"/>
  <c r="O12"/>
  <c r="K12"/>
  <c r="O11"/>
  <c r="K11"/>
  <c r="P10"/>
  <c r="P208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8" l="1"/>
  <c r="O10"/>
  <c r="K14"/>
  <c r="O208"/>
  <c r="K208"/>
  <c r="Q208" i="103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L160"/>
  <c r="K160" s="1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P129"/>
  <c r="O129" s="1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 s="1"/>
  <c r="O71"/>
  <c r="K71"/>
  <c r="P70"/>
  <c r="O70" s="1"/>
  <c r="L70"/>
  <c r="K70" s="1"/>
  <c r="O69"/>
  <c r="K69"/>
  <c r="P68"/>
  <c r="O68" s="1"/>
  <c r="L68"/>
  <c r="K68" s="1"/>
  <c r="O67"/>
  <c r="K67"/>
  <c r="O66"/>
  <c r="K66"/>
  <c r="P65"/>
  <c r="O65" s="1"/>
  <c r="K65"/>
  <c r="O64"/>
  <c r="K64"/>
  <c r="P63"/>
  <c r="O63" s="1"/>
  <c r="L63"/>
  <c r="K63" s="1"/>
  <c r="P62"/>
  <c r="O62" s="1"/>
  <c r="L62"/>
  <c r="K62" s="1"/>
  <c r="O61"/>
  <c r="L61"/>
  <c r="K61" s="1"/>
  <c r="O60"/>
  <c r="K60"/>
  <c r="O59"/>
  <c r="K59"/>
  <c r="O58"/>
  <c r="K58"/>
  <c r="O57"/>
  <c r="K57"/>
  <c r="O56"/>
  <c r="K56"/>
  <c r="P55"/>
  <c r="O55" s="1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L208"/>
  <c r="O10"/>
  <c r="O208" s="1"/>
  <c r="K14"/>
  <c r="K208" s="1"/>
  <c r="Q208" i="102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L160"/>
  <c r="K160" s="1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P129"/>
  <c r="O129" s="1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 s="1"/>
  <c r="O71"/>
  <c r="K71"/>
  <c r="P70"/>
  <c r="O70" s="1"/>
  <c r="L70"/>
  <c r="K70" s="1"/>
  <c r="O69"/>
  <c r="K69"/>
  <c r="P68"/>
  <c r="O68" s="1"/>
  <c r="L68"/>
  <c r="K68" s="1"/>
  <c r="O67"/>
  <c r="K67"/>
  <c r="O66"/>
  <c r="K66"/>
  <c r="P65"/>
  <c r="O65" s="1"/>
  <c r="K65"/>
  <c r="O64"/>
  <c r="K64"/>
  <c r="P63"/>
  <c r="O63" s="1"/>
  <c r="L63"/>
  <c r="K63" s="1"/>
  <c r="P62"/>
  <c r="O62" s="1"/>
  <c r="L62"/>
  <c r="K62" s="1"/>
  <c r="O61"/>
  <c r="L61"/>
  <c r="K61" s="1"/>
  <c r="O60"/>
  <c r="K60"/>
  <c r="O59"/>
  <c r="K59"/>
  <c r="O58"/>
  <c r="K58"/>
  <c r="O57"/>
  <c r="K57"/>
  <c r="O56"/>
  <c r="K56"/>
  <c r="P55"/>
  <c r="O55" s="1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O13"/>
  <c r="K13"/>
  <c r="O12"/>
  <c r="K12"/>
  <c r="O11"/>
  <c r="K11"/>
  <c r="P10"/>
  <c r="P208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8" l="1"/>
  <c r="O10"/>
  <c r="K14"/>
  <c r="K208" s="1"/>
  <c r="O208"/>
  <c r="P62" i="101"/>
  <c r="P63"/>
  <c r="P129"/>
  <c r="P38"/>
  <c r="O38" s="1"/>
  <c r="P117"/>
  <c r="O117" s="1"/>
  <c r="L199"/>
  <c r="K199" s="1"/>
  <c r="L61"/>
  <c r="L31"/>
  <c r="K31" s="1"/>
  <c r="L205"/>
  <c r="L121"/>
  <c r="L149"/>
  <c r="Q208"/>
  <c r="N208"/>
  <c r="M208"/>
  <c r="J208"/>
  <c r="I208"/>
  <c r="H208"/>
  <c r="O207"/>
  <c r="K207"/>
  <c r="O206"/>
  <c r="K206"/>
  <c r="O205"/>
  <c r="K205"/>
  <c r="O203"/>
  <c r="K203"/>
  <c r="O202"/>
  <c r="K202"/>
  <c r="P201"/>
  <c r="O201" s="1"/>
  <c r="L201"/>
  <c r="K201" s="1"/>
  <c r="O200"/>
  <c r="K200"/>
  <c r="P199"/>
  <c r="O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L160"/>
  <c r="K160" s="1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K149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K121"/>
  <c r="O120"/>
  <c r="K120"/>
  <c r="O119"/>
  <c r="K119"/>
  <c r="O118"/>
  <c r="K118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 s="1"/>
  <c r="O71"/>
  <c r="K71"/>
  <c r="P70"/>
  <c r="O70" s="1"/>
  <c r="L70"/>
  <c r="K70" s="1"/>
  <c r="O69"/>
  <c r="K69"/>
  <c r="P68"/>
  <c r="O68" s="1"/>
  <c r="L68"/>
  <c r="K68" s="1"/>
  <c r="O67"/>
  <c r="K67"/>
  <c r="O66"/>
  <c r="K66"/>
  <c r="P65"/>
  <c r="O65" s="1"/>
  <c r="K65"/>
  <c r="O64"/>
  <c r="K64"/>
  <c r="O63"/>
  <c r="L63"/>
  <c r="K63" s="1"/>
  <c r="O62"/>
  <c r="L62"/>
  <c r="K62" s="1"/>
  <c r="O61"/>
  <c r="K61"/>
  <c r="O60"/>
  <c r="K60"/>
  <c r="O59"/>
  <c r="K59"/>
  <c r="O58"/>
  <c r="K58"/>
  <c r="O57"/>
  <c r="K57"/>
  <c r="O56"/>
  <c r="K56"/>
  <c r="P55"/>
  <c r="O55" s="1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K14" s="1"/>
  <c r="O13"/>
  <c r="K13"/>
  <c r="O12"/>
  <c r="K12"/>
  <c r="O11"/>
  <c r="K11"/>
  <c r="P10"/>
  <c r="O10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O208"/>
  <c r="K208"/>
  <c r="L208"/>
  <c r="Q208" i="100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/>
  <c r="L160"/>
  <c r="K160"/>
  <c r="O159"/>
  <c r="K159"/>
  <c r="O158"/>
  <c r="K158"/>
  <c r="O157"/>
  <c r="K157"/>
  <c r="O156"/>
  <c r="K156"/>
  <c r="O155"/>
  <c r="K155"/>
  <c r="O154"/>
  <c r="K154"/>
  <c r="O153"/>
  <c r="K153"/>
  <c r="P152"/>
  <c r="O152"/>
  <c r="L152"/>
  <c r="K152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/>
  <c r="L143"/>
  <c r="K143"/>
  <c r="O142"/>
  <c r="K142"/>
  <c r="O141"/>
  <c r="L141"/>
  <c r="K141" s="1"/>
  <c r="O140"/>
  <c r="K140"/>
  <c r="P139"/>
  <c r="O139" s="1"/>
  <c r="K139"/>
  <c r="O138"/>
  <c r="K138"/>
  <c r="P137"/>
  <c r="O137"/>
  <c r="K137"/>
  <c r="O136"/>
  <c r="K136"/>
  <c r="P135"/>
  <c r="O135" s="1"/>
  <c r="L135"/>
  <c r="K135" s="1"/>
  <c r="O134"/>
  <c r="K134"/>
  <c r="O133"/>
  <c r="L133"/>
  <c r="K133"/>
  <c r="O132"/>
  <c r="K132"/>
  <c r="P131"/>
  <c r="O131"/>
  <c r="L131"/>
  <c r="K131"/>
  <c r="O130"/>
  <c r="K130"/>
  <c r="P129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/>
  <c r="O113"/>
  <c r="K113"/>
  <c r="O112"/>
  <c r="K112"/>
  <c r="O111"/>
  <c r="K111"/>
  <c r="O110"/>
  <c r="K110"/>
  <c r="O109"/>
  <c r="K109"/>
  <c r="P108"/>
  <c r="O108"/>
  <c r="L108"/>
  <c r="K108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/>
  <c r="L89"/>
  <c r="K89"/>
  <c r="O88"/>
  <c r="K88"/>
  <c r="P87"/>
  <c r="O87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/>
  <c r="O71"/>
  <c r="K71"/>
  <c r="P70"/>
  <c r="O70"/>
  <c r="L70"/>
  <c r="K70"/>
  <c r="O69"/>
  <c r="K69"/>
  <c r="P68"/>
  <c r="O68"/>
  <c r="L68"/>
  <c r="K68"/>
  <c r="O67"/>
  <c r="K67"/>
  <c r="O66"/>
  <c r="K66"/>
  <c r="P65"/>
  <c r="O65"/>
  <c r="K65"/>
  <c r="O64"/>
  <c r="K64"/>
  <c r="O63"/>
  <c r="L63"/>
  <c r="K63"/>
  <c r="O62"/>
  <c r="L62"/>
  <c r="K62" s="1"/>
  <c r="O61"/>
  <c r="L61"/>
  <c r="K61" s="1"/>
  <c r="O60"/>
  <c r="K60"/>
  <c r="O59"/>
  <c r="K59"/>
  <c r="O58"/>
  <c r="K58"/>
  <c r="O57"/>
  <c r="K57"/>
  <c r="O56"/>
  <c r="K56"/>
  <c r="P55"/>
  <c r="O55" s="1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/>
  <c r="L42"/>
  <c r="K42"/>
  <c r="O41"/>
  <c r="K41"/>
  <c r="P40"/>
  <c r="O40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K14" s="1"/>
  <c r="O13"/>
  <c r="K13"/>
  <c r="O12"/>
  <c r="K12"/>
  <c r="O11"/>
  <c r="K11"/>
  <c r="P10"/>
  <c r="O10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8" l="1"/>
  <c r="P208"/>
  <c r="L208"/>
  <c r="O208"/>
  <c r="Q208" i="99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/>
  <c r="L160"/>
  <c r="K160"/>
  <c r="O159"/>
  <c r="K159"/>
  <c r="O158"/>
  <c r="K158"/>
  <c r="O157"/>
  <c r="K157"/>
  <c r="O156"/>
  <c r="K156"/>
  <c r="O155"/>
  <c r="K155"/>
  <c r="O154"/>
  <c r="K154"/>
  <c r="O153"/>
  <c r="K153"/>
  <c r="P152"/>
  <c r="O152"/>
  <c r="L152"/>
  <c r="K152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/>
  <c r="L143"/>
  <c r="K143"/>
  <c r="O142"/>
  <c r="K142"/>
  <c r="O141"/>
  <c r="L141"/>
  <c r="K141" s="1"/>
  <c r="O140"/>
  <c r="K140"/>
  <c r="P139"/>
  <c r="O139" s="1"/>
  <c r="K139"/>
  <c r="O138"/>
  <c r="K138"/>
  <c r="P137"/>
  <c r="O137"/>
  <c r="K137"/>
  <c r="O136"/>
  <c r="K136"/>
  <c r="P135"/>
  <c r="O135" s="1"/>
  <c r="L135"/>
  <c r="K135" s="1"/>
  <c r="O134"/>
  <c r="K134"/>
  <c r="O133"/>
  <c r="L133"/>
  <c r="K133"/>
  <c r="O132"/>
  <c r="K132"/>
  <c r="P131"/>
  <c r="O131"/>
  <c r="L131"/>
  <c r="K131"/>
  <c r="O130"/>
  <c r="K130"/>
  <c r="P129"/>
  <c r="O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/>
  <c r="O113"/>
  <c r="K113"/>
  <c r="O112"/>
  <c r="K112"/>
  <c r="O111"/>
  <c r="K111"/>
  <c r="O110"/>
  <c r="K110"/>
  <c r="O109"/>
  <c r="K109"/>
  <c r="P108"/>
  <c r="O108"/>
  <c r="L108"/>
  <c r="K108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/>
  <c r="L89"/>
  <c r="K89"/>
  <c r="O88"/>
  <c r="K88"/>
  <c r="P87"/>
  <c r="O87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 s="1"/>
  <c r="O71"/>
  <c r="K71"/>
  <c r="P70"/>
  <c r="O70" s="1"/>
  <c r="L70"/>
  <c r="K70" s="1"/>
  <c r="O69"/>
  <c r="K69"/>
  <c r="P68"/>
  <c r="O68" s="1"/>
  <c r="L68"/>
  <c r="K68" s="1"/>
  <c r="O67"/>
  <c r="K67"/>
  <c r="O66"/>
  <c r="K66"/>
  <c r="P65"/>
  <c r="O65" s="1"/>
  <c r="K65"/>
  <c r="O64"/>
  <c r="K64"/>
  <c r="O63"/>
  <c r="L63"/>
  <c r="K63" s="1"/>
  <c r="O62"/>
  <c r="L62"/>
  <c r="K62" s="1"/>
  <c r="O61"/>
  <c r="L61"/>
  <c r="K61"/>
  <c r="O60"/>
  <c r="K60"/>
  <c r="O59"/>
  <c r="K59"/>
  <c r="O58"/>
  <c r="K58"/>
  <c r="O57"/>
  <c r="K57"/>
  <c r="O56"/>
  <c r="K56"/>
  <c r="P55"/>
  <c r="O55"/>
  <c r="K55"/>
  <c r="O54"/>
  <c r="K54"/>
  <c r="O53"/>
  <c r="K53"/>
  <c r="P52"/>
  <c r="O52" s="1"/>
  <c r="L52"/>
  <c r="K52" s="1"/>
  <c r="O51"/>
  <c r="K51"/>
  <c r="O50"/>
  <c r="L50"/>
  <c r="K50"/>
  <c r="O49"/>
  <c r="K49"/>
  <c r="P48"/>
  <c r="O48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8" l="1"/>
  <c r="P208"/>
  <c r="O10"/>
  <c r="O208" s="1"/>
  <c r="K14"/>
  <c r="K208" s="1"/>
  <c r="Q208" i="98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L182"/>
  <c r="K182" s="1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L160"/>
  <c r="K160" s="1"/>
  <c r="O159"/>
  <c r="K159"/>
  <c r="O158"/>
  <c r="K158"/>
  <c r="O157"/>
  <c r="K157"/>
  <c r="O156"/>
  <c r="K156"/>
  <c r="O155"/>
  <c r="K155"/>
  <c r="O154"/>
  <c r="K154"/>
  <c r="O153"/>
  <c r="K153"/>
  <c r="P152"/>
  <c r="O152" s="1"/>
  <c r="L152"/>
  <c r="K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P143"/>
  <c r="O143" s="1"/>
  <c r="L143"/>
  <c r="K143" s="1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L133"/>
  <c r="K133" s="1"/>
  <c r="O132"/>
  <c r="K132"/>
  <c r="P131"/>
  <c r="O131" s="1"/>
  <c r="L131"/>
  <c r="K131" s="1"/>
  <c r="O130"/>
  <c r="K130"/>
  <c r="P129"/>
  <c r="O129" s="1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P104"/>
  <c r="O104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L85"/>
  <c r="K85" s="1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P73"/>
  <c r="O73" s="1"/>
  <c r="L73"/>
  <c r="K73" s="1"/>
  <c r="O72"/>
  <c r="L72"/>
  <c r="K72" s="1"/>
  <c r="O71"/>
  <c r="K71"/>
  <c r="P70"/>
  <c r="O70" s="1"/>
  <c r="L70"/>
  <c r="K70" s="1"/>
  <c r="O69"/>
  <c r="K69"/>
  <c r="P68"/>
  <c r="O68" s="1"/>
  <c r="L68"/>
  <c r="K68" s="1"/>
  <c r="O67"/>
  <c r="K67"/>
  <c r="O66"/>
  <c r="K66"/>
  <c r="P65"/>
  <c r="O65" s="1"/>
  <c r="K65"/>
  <c r="O64"/>
  <c r="K64"/>
  <c r="O63"/>
  <c r="L63"/>
  <c r="K63" s="1"/>
  <c r="O62"/>
  <c r="L62"/>
  <c r="K62" s="1"/>
  <c r="O61"/>
  <c r="L61"/>
  <c r="K61" s="1"/>
  <c r="O60"/>
  <c r="K60"/>
  <c r="O59"/>
  <c r="K59"/>
  <c r="O58"/>
  <c r="K58"/>
  <c r="O57"/>
  <c r="K57"/>
  <c r="O56"/>
  <c r="K56"/>
  <c r="P55"/>
  <c r="O55" s="1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L38"/>
  <c r="K38" s="1"/>
  <c r="O37"/>
  <c r="K37"/>
  <c r="P36"/>
  <c r="O36" s="1"/>
  <c r="K36"/>
  <c r="O35"/>
  <c r="K35"/>
  <c r="P34"/>
  <c r="O34" s="1"/>
  <c r="L34"/>
  <c r="K34" s="1"/>
  <c r="O33"/>
  <c r="K33"/>
  <c r="O32"/>
  <c r="K32"/>
  <c r="P31"/>
  <c r="O31" s="1"/>
  <c r="L31"/>
  <c r="K31" s="1"/>
  <c r="O30"/>
  <c r="K30"/>
  <c r="P29"/>
  <c r="O29" s="1"/>
  <c r="K29"/>
  <c r="P28"/>
  <c r="O28" s="1"/>
  <c r="L28"/>
  <c r="K28" s="1"/>
  <c r="O27"/>
  <c r="K27"/>
  <c r="O25"/>
  <c r="K25"/>
  <c r="O24"/>
  <c r="K24"/>
  <c r="P23"/>
  <c r="O23" s="1"/>
  <c r="K23"/>
  <c r="O22"/>
  <c r="K22"/>
  <c r="O21"/>
  <c r="K21"/>
  <c r="P20"/>
  <c r="O20" s="1"/>
  <c r="L20"/>
  <c r="K20" s="1"/>
  <c r="O19"/>
  <c r="K19"/>
  <c r="O18"/>
  <c r="K18"/>
  <c r="O17"/>
  <c r="K17"/>
  <c r="P16"/>
  <c r="O16" s="1"/>
  <c r="L16"/>
  <c r="K16" s="1"/>
  <c r="O15"/>
  <c r="K15"/>
  <c r="P14"/>
  <c r="O14" s="1"/>
  <c r="L14"/>
  <c r="L208" s="1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O10"/>
  <c r="K14"/>
  <c r="K208" s="1"/>
  <c r="O208"/>
  <c r="P65" i="97"/>
  <c r="P143"/>
  <c r="O143" s="1"/>
  <c r="P31"/>
  <c r="P73"/>
  <c r="P29"/>
  <c r="P34"/>
  <c r="O34" s="1"/>
  <c r="P38"/>
  <c r="P68"/>
  <c r="O68" s="1"/>
  <c r="P23"/>
  <c r="O23" s="1"/>
  <c r="P104"/>
  <c r="O104" s="1"/>
  <c r="L182"/>
  <c r="L143"/>
  <c r="K143" s="1"/>
  <c r="L133"/>
  <c r="L152"/>
  <c r="K152" s="1"/>
  <c r="L85"/>
  <c r="L20"/>
  <c r="K20" s="1"/>
  <c r="L16"/>
  <c r="K16" s="1"/>
  <c r="L131"/>
  <c r="K131" s="1"/>
  <c r="Q208"/>
  <c r="N208"/>
  <c r="M208"/>
  <c r="J208"/>
  <c r="I208"/>
  <c r="H208"/>
  <c r="O207"/>
  <c r="K207"/>
  <c r="O206"/>
  <c r="K206"/>
  <c r="O205"/>
  <c r="L205"/>
  <c r="K205" s="1"/>
  <c r="O203"/>
  <c r="K203"/>
  <c r="O202"/>
  <c r="K202"/>
  <c r="P201"/>
  <c r="O201" s="1"/>
  <c r="L201"/>
  <c r="K201" s="1"/>
  <c r="O200"/>
  <c r="K200"/>
  <c r="P199"/>
  <c r="O199" s="1"/>
  <c r="L199"/>
  <c r="K199" s="1"/>
  <c r="O198"/>
  <c r="K198"/>
  <c r="O197"/>
  <c r="K197"/>
  <c r="O196"/>
  <c r="K196"/>
  <c r="O195"/>
  <c r="K195"/>
  <c r="O194"/>
  <c r="L194"/>
  <c r="K194" s="1"/>
  <c r="O193"/>
  <c r="K193"/>
  <c r="P192"/>
  <c r="O192" s="1"/>
  <c r="L192"/>
  <c r="K192" s="1"/>
  <c r="O191"/>
  <c r="K191"/>
  <c r="P190"/>
  <c r="O190" s="1"/>
  <c r="K190"/>
  <c r="O189"/>
  <c r="K189"/>
  <c r="O188"/>
  <c r="K188"/>
  <c r="O187"/>
  <c r="K187"/>
  <c r="O186"/>
  <c r="K186"/>
  <c r="P185"/>
  <c r="O185" s="1"/>
  <c r="L185"/>
  <c r="K185" s="1"/>
  <c r="P184"/>
  <c r="O184" s="1"/>
  <c r="K184"/>
  <c r="O183"/>
  <c r="K183"/>
  <c r="O182"/>
  <c r="K182"/>
  <c r="O181"/>
  <c r="K181"/>
  <c r="P180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P160"/>
  <c r="O160" s="1"/>
  <c r="L160"/>
  <c r="K160" s="1"/>
  <c r="O159"/>
  <c r="K159"/>
  <c r="O158"/>
  <c r="K158"/>
  <c r="O157"/>
  <c r="K157"/>
  <c r="O156"/>
  <c r="K156"/>
  <c r="O155"/>
  <c r="K155"/>
  <c r="O154"/>
  <c r="K154"/>
  <c r="O153"/>
  <c r="K153"/>
  <c r="P152"/>
  <c r="O152" s="1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O142"/>
  <c r="K142"/>
  <c r="O14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L135"/>
  <c r="K135" s="1"/>
  <c r="O134"/>
  <c r="K134"/>
  <c r="O133"/>
  <c r="K133"/>
  <c r="O132"/>
  <c r="K132"/>
  <c r="P131"/>
  <c r="O131" s="1"/>
  <c r="O130"/>
  <c r="K130"/>
  <c r="P129"/>
  <c r="O129" s="1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L121"/>
  <c r="K121" s="1"/>
  <c r="O120"/>
  <c r="K120"/>
  <c r="O119"/>
  <c r="K119"/>
  <c r="O118"/>
  <c r="K118"/>
  <c r="P117"/>
  <c r="O117" s="1"/>
  <c r="L117"/>
  <c r="K117" s="1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L108"/>
  <c r="K108" s="1"/>
  <c r="O107"/>
  <c r="K107"/>
  <c r="O106"/>
  <c r="K106"/>
  <c r="O105"/>
  <c r="L105"/>
  <c r="K105" s="1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P89"/>
  <c r="O89" s="1"/>
  <c r="L89"/>
  <c r="K89" s="1"/>
  <c r="O88"/>
  <c r="K88"/>
  <c r="P87"/>
  <c r="O87" s="1"/>
  <c r="K87"/>
  <c r="O86"/>
  <c r="K86"/>
  <c r="P85"/>
  <c r="O85" s="1"/>
  <c r="K85"/>
  <c r="O84"/>
  <c r="K84"/>
  <c r="O83"/>
  <c r="K83"/>
  <c r="O82"/>
  <c r="K82"/>
  <c r="P81"/>
  <c r="O81" s="1"/>
  <c r="K81"/>
  <c r="O80"/>
  <c r="K80"/>
  <c r="O79"/>
  <c r="L79"/>
  <c r="K79" s="1"/>
  <c r="O78"/>
  <c r="K78"/>
  <c r="O77"/>
  <c r="K77"/>
  <c r="O76"/>
  <c r="K76"/>
  <c r="P75"/>
  <c r="O75" s="1"/>
  <c r="L75"/>
  <c r="K75" s="1"/>
  <c r="O74"/>
  <c r="K74"/>
  <c r="O73"/>
  <c r="L73"/>
  <c r="K73" s="1"/>
  <c r="O72"/>
  <c r="L72"/>
  <c r="K72" s="1"/>
  <c r="O71"/>
  <c r="K71"/>
  <c r="P70"/>
  <c r="O70" s="1"/>
  <c r="L70"/>
  <c r="K70" s="1"/>
  <c r="O69"/>
  <c r="K69"/>
  <c r="L68"/>
  <c r="K68" s="1"/>
  <c r="O67"/>
  <c r="K67"/>
  <c r="O66"/>
  <c r="K66"/>
  <c r="O65"/>
  <c r="K65"/>
  <c r="O64"/>
  <c r="K64"/>
  <c r="O63"/>
  <c r="L63"/>
  <c r="K63" s="1"/>
  <c r="O62"/>
  <c r="L62"/>
  <c r="K62" s="1"/>
  <c r="O61"/>
  <c r="L61"/>
  <c r="K61" s="1"/>
  <c r="O60"/>
  <c r="K60"/>
  <c r="O59"/>
  <c r="K59"/>
  <c r="O58"/>
  <c r="K58"/>
  <c r="O57"/>
  <c r="K57"/>
  <c r="O56"/>
  <c r="K56"/>
  <c r="P55"/>
  <c r="O55" s="1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O38"/>
  <c r="L38"/>
  <c r="K38" s="1"/>
  <c r="O37"/>
  <c r="K37"/>
  <c r="P36"/>
  <c r="O36" s="1"/>
  <c r="K36"/>
  <c r="O35"/>
  <c r="K35"/>
  <c r="L34"/>
  <c r="K34" s="1"/>
  <c r="O33"/>
  <c r="K33"/>
  <c r="O32"/>
  <c r="K32"/>
  <c r="O31"/>
  <c r="L31"/>
  <c r="K31" s="1"/>
  <c r="O30"/>
  <c r="K30"/>
  <c r="O29"/>
  <c r="K29"/>
  <c r="P28"/>
  <c r="O28" s="1"/>
  <c r="L28"/>
  <c r="K28" s="1"/>
  <c r="O27"/>
  <c r="K27"/>
  <c r="O25"/>
  <c r="K25"/>
  <c r="O24"/>
  <c r="K24"/>
  <c r="K23"/>
  <c r="O22"/>
  <c r="K22"/>
  <c r="O21"/>
  <c r="K21"/>
  <c r="P20"/>
  <c r="O20" s="1"/>
  <c r="O19"/>
  <c r="K19"/>
  <c r="O18"/>
  <c r="K18"/>
  <c r="O17"/>
  <c r="K17"/>
  <c r="P16"/>
  <c r="O16" s="1"/>
  <c r="O15"/>
  <c r="K15"/>
  <c r="P14"/>
  <c r="O14" s="1"/>
  <c r="L14"/>
  <c r="K14" s="1"/>
  <c r="O13"/>
  <c r="K13"/>
  <c r="O12"/>
  <c r="K12"/>
  <c r="O11"/>
  <c r="K11"/>
  <c r="P10"/>
  <c r="O10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L208"/>
  <c r="K208"/>
  <c r="O208"/>
  <c r="Q208" i="96"/>
  <c r="N208"/>
  <c r="M208"/>
  <c r="J208"/>
  <c r="I208"/>
  <c r="H208"/>
  <c r="O207"/>
  <c r="K207"/>
  <c r="O206"/>
  <c r="K206"/>
  <c r="O205"/>
  <c r="K205"/>
  <c r="O203"/>
  <c r="K203"/>
  <c r="O202"/>
  <c r="K202"/>
  <c r="P201"/>
  <c r="O201" s="1"/>
  <c r="K201"/>
  <c r="O200"/>
  <c r="K200"/>
  <c r="P199"/>
  <c r="O199" s="1"/>
  <c r="K199"/>
  <c r="O198"/>
  <c r="K198"/>
  <c r="O197"/>
  <c r="K197"/>
  <c r="O196"/>
  <c r="K196"/>
  <c r="O195"/>
  <c r="K195"/>
  <c r="O194"/>
  <c r="K194"/>
  <c r="O193"/>
  <c r="K193"/>
  <c r="P192"/>
  <c r="O192" s="1"/>
  <c r="K192"/>
  <c r="O191"/>
  <c r="K191"/>
  <c r="P190"/>
  <c r="O190" s="1"/>
  <c r="K190"/>
  <c r="O189"/>
  <c r="K189"/>
  <c r="O188"/>
  <c r="K188"/>
  <c r="O187"/>
  <c r="K187"/>
  <c r="O186"/>
  <c r="K186"/>
  <c r="O185"/>
  <c r="K185"/>
  <c r="P184"/>
  <c r="O184" s="1"/>
  <c r="K184"/>
  <c r="O183"/>
  <c r="K183"/>
  <c r="O182"/>
  <c r="K182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L149"/>
  <c r="K149" s="1"/>
  <c r="O148"/>
  <c r="K148"/>
  <c r="O147"/>
  <c r="K147"/>
  <c r="O146"/>
  <c r="K146"/>
  <c r="O145"/>
  <c r="K145"/>
  <c r="P144"/>
  <c r="O144" s="1"/>
  <c r="K144"/>
  <c r="O143"/>
  <c r="L143"/>
  <c r="K143" s="1"/>
  <c r="O142"/>
  <c r="K142"/>
  <c r="O141"/>
  <c r="K141"/>
  <c r="O140"/>
  <c r="K140"/>
  <c r="P139"/>
  <c r="O139" s="1"/>
  <c r="K139"/>
  <c r="O138"/>
  <c r="K138"/>
  <c r="O137"/>
  <c r="K137"/>
  <c r="O136"/>
  <c r="K136"/>
  <c r="O135"/>
  <c r="K135"/>
  <c r="O134"/>
  <c r="K134"/>
  <c r="O133"/>
  <c r="L133"/>
  <c r="K133" s="1"/>
  <c r="O132"/>
  <c r="K132"/>
  <c r="P131"/>
  <c r="O131" s="1"/>
  <c r="K131"/>
  <c r="O130"/>
  <c r="K130"/>
  <c r="P129"/>
  <c r="O129" s="1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K121"/>
  <c r="O120"/>
  <c r="K120"/>
  <c r="O119"/>
  <c r="K119"/>
  <c r="O118"/>
  <c r="K118"/>
  <c r="O117"/>
  <c r="K117"/>
  <c r="O116"/>
  <c r="K116"/>
  <c r="O115"/>
  <c r="K115"/>
  <c r="O114"/>
  <c r="L114"/>
  <c r="K114" s="1"/>
  <c r="O113"/>
  <c r="K113"/>
  <c r="O112"/>
  <c r="K112"/>
  <c r="O111"/>
  <c r="K111"/>
  <c r="O110"/>
  <c r="K110"/>
  <c r="O109"/>
  <c r="K109"/>
  <c r="P108"/>
  <c r="O108" s="1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L98"/>
  <c r="K98" s="1"/>
  <c r="O97"/>
  <c r="K97"/>
  <c r="O96"/>
  <c r="K96"/>
  <c r="O95"/>
  <c r="K95"/>
  <c r="P94"/>
  <c r="O94" s="1"/>
  <c r="K94"/>
  <c r="O93"/>
  <c r="K93"/>
  <c r="O92"/>
  <c r="K92"/>
  <c r="O91"/>
  <c r="K91"/>
  <c r="O90"/>
  <c r="K90"/>
  <c r="O89"/>
  <c r="K89"/>
  <c r="O88"/>
  <c r="K88"/>
  <c r="O87"/>
  <c r="K87"/>
  <c r="O86"/>
  <c r="K86"/>
  <c r="P85"/>
  <c r="O85" s="1"/>
  <c r="K85"/>
  <c r="O84"/>
  <c r="K84"/>
  <c r="O83"/>
  <c r="K83"/>
  <c r="O82"/>
  <c r="K82"/>
  <c r="O81"/>
  <c r="K81"/>
  <c r="O80"/>
  <c r="K80"/>
  <c r="O79"/>
  <c r="L79"/>
  <c r="K79" s="1"/>
  <c r="O78"/>
  <c r="K78"/>
  <c r="O77"/>
  <c r="K77"/>
  <c r="O76"/>
  <c r="K76"/>
  <c r="O75"/>
  <c r="K75"/>
  <c r="O74"/>
  <c r="K74"/>
  <c r="P73"/>
  <c r="O73" s="1"/>
  <c r="K73"/>
  <c r="O72"/>
  <c r="L72"/>
  <c r="K72" s="1"/>
  <c r="O71"/>
  <c r="K71"/>
  <c r="P70"/>
  <c r="O70" s="1"/>
  <c r="L70"/>
  <c r="K70" s="1"/>
  <c r="O69"/>
  <c r="K69"/>
  <c r="O68"/>
  <c r="K68"/>
  <c r="O67"/>
  <c r="K67"/>
  <c r="O66"/>
  <c r="K66"/>
  <c r="O65"/>
  <c r="K65"/>
  <c r="O64"/>
  <c r="K64"/>
  <c r="O63"/>
  <c r="K63"/>
  <c r="O62"/>
  <c r="K62"/>
  <c r="O61"/>
  <c r="L61"/>
  <c r="K61" s="1"/>
  <c r="O60"/>
  <c r="K60"/>
  <c r="O59"/>
  <c r="K59"/>
  <c r="O58"/>
  <c r="K58"/>
  <c r="O57"/>
  <c r="K57"/>
  <c r="O56"/>
  <c r="K56"/>
  <c r="O55"/>
  <c r="K55"/>
  <c r="O54"/>
  <c r="K54"/>
  <c r="O53"/>
  <c r="K53"/>
  <c r="P52"/>
  <c r="O52" s="1"/>
  <c r="L52"/>
  <c r="K52" s="1"/>
  <c r="O51"/>
  <c r="K51"/>
  <c r="O50"/>
  <c r="L50"/>
  <c r="K50" s="1"/>
  <c r="O49"/>
  <c r="K49"/>
  <c r="P48"/>
  <c r="O48" s="1"/>
  <c r="K48"/>
  <c r="O47"/>
  <c r="K47"/>
  <c r="P46"/>
  <c r="O46" s="1"/>
  <c r="K46"/>
  <c r="O45"/>
  <c r="K45"/>
  <c r="O44"/>
  <c r="K44"/>
  <c r="O43"/>
  <c r="K43"/>
  <c r="P42"/>
  <c r="O42" s="1"/>
  <c r="L42"/>
  <c r="K42" s="1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O34"/>
  <c r="L34"/>
  <c r="O33"/>
  <c r="K33"/>
  <c r="O32"/>
  <c r="K32"/>
  <c r="O31"/>
  <c r="K31"/>
  <c r="O30"/>
  <c r="K30"/>
  <c r="P29"/>
  <c r="O29" s="1"/>
  <c r="K29"/>
  <c r="P28"/>
  <c r="O28" s="1"/>
  <c r="K28"/>
  <c r="O27"/>
  <c r="K27"/>
  <c r="O25"/>
  <c r="K25"/>
  <c r="O24"/>
  <c r="K24"/>
  <c r="O23"/>
  <c r="K23"/>
  <c r="O22"/>
  <c r="K22"/>
  <c r="O21"/>
  <c r="K21"/>
  <c r="P20"/>
  <c r="O20" s="1"/>
  <c r="K20"/>
  <c r="O19"/>
  <c r="K19"/>
  <c r="O18"/>
  <c r="K18"/>
  <c r="O17"/>
  <c r="K17"/>
  <c r="P16"/>
  <c r="O16" s="1"/>
  <c r="K16"/>
  <c r="O15"/>
  <c r="K15"/>
  <c r="P14"/>
  <c r="O14" s="1"/>
  <c r="K14"/>
  <c r="O13"/>
  <c r="K13"/>
  <c r="O12"/>
  <c r="K12"/>
  <c r="O11"/>
  <c r="K11"/>
  <c r="P10"/>
  <c r="O10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8" l="1"/>
  <c r="K34"/>
  <c r="K208" s="1"/>
  <c r="O208"/>
  <c r="P208"/>
  <c r="L121" i="95" l="1"/>
  <c r="L89"/>
  <c r="L31"/>
  <c r="L108"/>
  <c r="L194"/>
  <c r="L117"/>
  <c r="L34"/>
  <c r="L75"/>
  <c r="L160"/>
  <c r="L68"/>
  <c r="L205"/>
  <c r="L73"/>
  <c r="L105"/>
  <c r="L192"/>
  <c r="L38"/>
  <c r="L201"/>
  <c r="L135"/>
  <c r="L63"/>
  <c r="L14"/>
  <c r="L141"/>
  <c r="L50"/>
  <c r="L61"/>
  <c r="L62"/>
  <c r="L114"/>
  <c r="L28"/>
  <c r="L199"/>
  <c r="L185"/>
  <c r="P20"/>
  <c r="P135"/>
  <c r="P75"/>
  <c r="P160"/>
  <c r="P42"/>
  <c r="P16"/>
  <c r="P87"/>
  <c r="P152"/>
  <c r="P201"/>
  <c r="P31"/>
  <c r="P14"/>
  <c r="P117"/>
  <c r="P108"/>
  <c r="P199"/>
  <c r="P89"/>
  <c r="P81"/>
  <c r="P55"/>
  <c r="P137"/>
  <c r="P48"/>
  <c r="P185"/>
  <c r="Q208" l="1"/>
  <c r="N208"/>
  <c r="M208"/>
  <c r="J208"/>
  <c r="I208"/>
  <c r="H208"/>
  <c r="O207"/>
  <c r="K207"/>
  <c r="O206"/>
  <c r="K206"/>
  <c r="O205"/>
  <c r="K205"/>
  <c r="O203"/>
  <c r="K203"/>
  <c r="O202"/>
  <c r="K202"/>
  <c r="K201"/>
  <c r="O200"/>
  <c r="K200"/>
  <c r="O199"/>
  <c r="K199"/>
  <c r="O198"/>
  <c r="K198"/>
  <c r="O197"/>
  <c r="K197"/>
  <c r="O196"/>
  <c r="K196"/>
  <c r="O195"/>
  <c r="K195"/>
  <c r="O194"/>
  <c r="K194"/>
  <c r="O193"/>
  <c r="K193"/>
  <c r="P192"/>
  <c r="O192" s="1"/>
  <c r="K192"/>
  <c r="O191"/>
  <c r="K191"/>
  <c r="P190"/>
  <c r="K190"/>
  <c r="O189"/>
  <c r="K189"/>
  <c r="O188"/>
  <c r="K188"/>
  <c r="O187"/>
  <c r="K187"/>
  <c r="O186"/>
  <c r="K186"/>
  <c r="O185"/>
  <c r="K185"/>
  <c r="P184"/>
  <c r="O184" s="1"/>
  <c r="K184"/>
  <c r="O183"/>
  <c r="K183"/>
  <c r="O182"/>
  <c r="K182"/>
  <c r="O181"/>
  <c r="K181"/>
  <c r="P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L149"/>
  <c r="K149" s="1"/>
  <c r="O148"/>
  <c r="K148"/>
  <c r="O147"/>
  <c r="K147"/>
  <c r="O146"/>
  <c r="K146"/>
  <c r="O145"/>
  <c r="K145"/>
  <c r="P144"/>
  <c r="K144"/>
  <c r="O143"/>
  <c r="L143"/>
  <c r="K143" s="1"/>
  <c r="O142"/>
  <c r="K142"/>
  <c r="O141"/>
  <c r="K141"/>
  <c r="O140"/>
  <c r="K140"/>
  <c r="P139"/>
  <c r="O139" s="1"/>
  <c r="K139"/>
  <c r="O138"/>
  <c r="K138"/>
  <c r="O137"/>
  <c r="K137"/>
  <c r="O136"/>
  <c r="K136"/>
  <c r="O135"/>
  <c r="K135"/>
  <c r="O134"/>
  <c r="K134"/>
  <c r="O133"/>
  <c r="L133"/>
  <c r="K133" s="1"/>
  <c r="O132"/>
  <c r="K132"/>
  <c r="P131"/>
  <c r="O131" s="1"/>
  <c r="K131"/>
  <c r="O130"/>
  <c r="K130"/>
  <c r="P129"/>
  <c r="K129"/>
  <c r="O128"/>
  <c r="K128"/>
  <c r="O127"/>
  <c r="K127"/>
  <c r="O126"/>
  <c r="K126"/>
  <c r="O125"/>
  <c r="K125"/>
  <c r="O124"/>
  <c r="K124"/>
  <c r="O123"/>
  <c r="K123"/>
  <c r="O122"/>
  <c r="K122"/>
  <c r="P121"/>
  <c r="O121" s="1"/>
  <c r="K121"/>
  <c r="O120"/>
  <c r="K120"/>
  <c r="O119"/>
  <c r="K119"/>
  <c r="O118"/>
  <c r="K118"/>
  <c r="O117"/>
  <c r="K117"/>
  <c r="O116"/>
  <c r="K116"/>
  <c r="O115"/>
  <c r="K115"/>
  <c r="O114"/>
  <c r="O113"/>
  <c r="K113"/>
  <c r="O112"/>
  <c r="K112"/>
  <c r="O111"/>
  <c r="K111"/>
  <c r="O110"/>
  <c r="K110"/>
  <c r="O109"/>
  <c r="K109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L98"/>
  <c r="O97"/>
  <c r="K97"/>
  <c r="O96"/>
  <c r="K96"/>
  <c r="O95"/>
  <c r="K95"/>
  <c r="P94"/>
  <c r="K94"/>
  <c r="O93"/>
  <c r="K93"/>
  <c r="O92"/>
  <c r="K92"/>
  <c r="O91"/>
  <c r="K91"/>
  <c r="O90"/>
  <c r="K90"/>
  <c r="O89"/>
  <c r="K89"/>
  <c r="O88"/>
  <c r="K88"/>
  <c r="O87"/>
  <c r="K87"/>
  <c r="O86"/>
  <c r="K86"/>
  <c r="P85"/>
  <c r="K85"/>
  <c r="O84"/>
  <c r="K84"/>
  <c r="O83"/>
  <c r="K83"/>
  <c r="O82"/>
  <c r="K82"/>
  <c r="O81"/>
  <c r="K81"/>
  <c r="O80"/>
  <c r="K80"/>
  <c r="O79"/>
  <c r="L79"/>
  <c r="O78"/>
  <c r="K78"/>
  <c r="O77"/>
  <c r="K77"/>
  <c r="O76"/>
  <c r="K76"/>
  <c r="O75"/>
  <c r="K75"/>
  <c r="O74"/>
  <c r="K74"/>
  <c r="P73"/>
  <c r="K73"/>
  <c r="O72"/>
  <c r="L72"/>
  <c r="K72" s="1"/>
  <c r="O71"/>
  <c r="K71"/>
  <c r="P70"/>
  <c r="O70" s="1"/>
  <c r="L70"/>
  <c r="K70" s="1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P52"/>
  <c r="O52" s="1"/>
  <c r="L52"/>
  <c r="O51"/>
  <c r="K51"/>
  <c r="O50"/>
  <c r="K50"/>
  <c r="O49"/>
  <c r="K49"/>
  <c r="O48"/>
  <c r="K48"/>
  <c r="O47"/>
  <c r="K47"/>
  <c r="P46"/>
  <c r="K46"/>
  <c r="O45"/>
  <c r="K45"/>
  <c r="O44"/>
  <c r="K44"/>
  <c r="O43"/>
  <c r="K43"/>
  <c r="O42"/>
  <c r="L42"/>
  <c r="K42" s="1"/>
  <c r="O41"/>
  <c r="K41"/>
  <c r="P40"/>
  <c r="O40" s="1"/>
  <c r="K40"/>
  <c r="O39"/>
  <c r="K39"/>
  <c r="P38"/>
  <c r="K38"/>
  <c r="O37"/>
  <c r="K37"/>
  <c r="P36"/>
  <c r="O36" s="1"/>
  <c r="K36"/>
  <c r="O35"/>
  <c r="K35"/>
  <c r="O34"/>
  <c r="K34"/>
  <c r="O33"/>
  <c r="K33"/>
  <c r="O32"/>
  <c r="K32"/>
  <c r="O31"/>
  <c r="K31"/>
  <c r="O30"/>
  <c r="K30"/>
  <c r="P29"/>
  <c r="K29"/>
  <c r="P28"/>
  <c r="K28"/>
  <c r="O27"/>
  <c r="K27"/>
  <c r="O25"/>
  <c r="K25"/>
  <c r="O24"/>
  <c r="K24"/>
  <c r="O23"/>
  <c r="K23"/>
  <c r="O22"/>
  <c r="K22"/>
  <c r="O21"/>
  <c r="K21"/>
  <c r="K20"/>
  <c r="O19"/>
  <c r="K19"/>
  <c r="O18"/>
  <c r="K18"/>
  <c r="O17"/>
  <c r="K17"/>
  <c r="O16"/>
  <c r="K16"/>
  <c r="O15"/>
  <c r="K15"/>
  <c r="K14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8" l="1"/>
  <c r="O10"/>
  <c r="O14"/>
  <c r="O20"/>
  <c r="O28"/>
  <c r="O29"/>
  <c r="O38"/>
  <c r="O46"/>
  <c r="K52"/>
  <c r="O73"/>
  <c r="K79"/>
  <c r="O85"/>
  <c r="O94"/>
  <c r="K98"/>
  <c r="O108"/>
  <c r="K114"/>
  <c r="O129"/>
  <c r="O144"/>
  <c r="O180"/>
  <c r="O190"/>
  <c r="O201"/>
  <c r="L208"/>
  <c r="R11" i="94"/>
  <c r="R12"/>
  <c r="R13"/>
  <c r="R15"/>
  <c r="R17"/>
  <c r="R18"/>
  <c r="R19"/>
  <c r="R21"/>
  <c r="R22"/>
  <c r="R23"/>
  <c r="R24"/>
  <c r="R25"/>
  <c r="R26"/>
  <c r="R29"/>
  <c r="R30"/>
  <c r="R31"/>
  <c r="R32"/>
  <c r="R34"/>
  <c r="R36"/>
  <c r="R38"/>
  <c r="R40"/>
  <c r="R42"/>
  <c r="R43"/>
  <c r="R44"/>
  <c r="R46"/>
  <c r="R48"/>
  <c r="R50"/>
  <c r="R52"/>
  <c r="R53"/>
  <c r="R54"/>
  <c r="R55"/>
  <c r="R56"/>
  <c r="R57"/>
  <c r="R58"/>
  <c r="R59"/>
  <c r="R61"/>
  <c r="R62"/>
  <c r="R63"/>
  <c r="R64"/>
  <c r="R65"/>
  <c r="R66"/>
  <c r="R67"/>
  <c r="R68"/>
  <c r="R70"/>
  <c r="R73"/>
  <c r="R74"/>
  <c r="R75"/>
  <c r="R76"/>
  <c r="R77"/>
  <c r="R79"/>
  <c r="R80"/>
  <c r="R81"/>
  <c r="R82"/>
  <c r="R83"/>
  <c r="R85"/>
  <c r="R86"/>
  <c r="R87"/>
  <c r="R88"/>
  <c r="R89"/>
  <c r="R90"/>
  <c r="R91"/>
  <c r="R92"/>
  <c r="R94"/>
  <c r="R95"/>
  <c r="R96"/>
  <c r="R98"/>
  <c r="R99"/>
  <c r="R100"/>
  <c r="R101"/>
  <c r="R102"/>
  <c r="R103"/>
  <c r="R104"/>
  <c r="R105"/>
  <c r="R106"/>
  <c r="R108"/>
  <c r="R109"/>
  <c r="R110"/>
  <c r="R111"/>
  <c r="R112"/>
  <c r="R114"/>
  <c r="R115"/>
  <c r="R116"/>
  <c r="R117"/>
  <c r="R118"/>
  <c r="R119"/>
  <c r="R121"/>
  <c r="R122"/>
  <c r="R123"/>
  <c r="R124"/>
  <c r="R125"/>
  <c r="R126"/>
  <c r="R127"/>
  <c r="R129"/>
  <c r="R131"/>
  <c r="R133"/>
  <c r="R134"/>
  <c r="R135"/>
  <c r="R136"/>
  <c r="R137"/>
  <c r="R139"/>
  <c r="R140"/>
  <c r="R141"/>
  <c r="R144"/>
  <c r="R145"/>
  <c r="R146"/>
  <c r="R147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80"/>
  <c r="R181"/>
  <c r="R182"/>
  <c r="R184"/>
  <c r="R185"/>
  <c r="R186"/>
  <c r="R187"/>
  <c r="R188"/>
  <c r="R190"/>
  <c r="R192"/>
  <c r="R193"/>
  <c r="R194"/>
  <c r="R195"/>
  <c r="R196"/>
  <c r="R197"/>
  <c r="R199"/>
  <c r="R201"/>
  <c r="R202"/>
  <c r="R203"/>
  <c r="R204"/>
  <c r="R205"/>
  <c r="R206"/>
  <c r="O208" i="95" l="1"/>
  <c r="K208"/>
  <c r="Q207" i="94"/>
  <c r="N207"/>
  <c r="M207"/>
  <c r="J207"/>
  <c r="I207"/>
  <c r="H207"/>
  <c r="O206"/>
  <c r="K206"/>
  <c r="O205"/>
  <c r="K205"/>
  <c r="O204"/>
  <c r="K204"/>
  <c r="O202"/>
  <c r="K202"/>
  <c r="O201"/>
  <c r="K201"/>
  <c r="P200"/>
  <c r="K200"/>
  <c r="O199"/>
  <c r="K199"/>
  <c r="P198"/>
  <c r="R198" s="1"/>
  <c r="O198"/>
  <c r="K198"/>
  <c r="O197"/>
  <c r="K197"/>
  <c r="O196"/>
  <c r="K196"/>
  <c r="O195"/>
  <c r="K195"/>
  <c r="O194"/>
  <c r="K194"/>
  <c r="O193"/>
  <c r="K193"/>
  <c r="O192"/>
  <c r="K192"/>
  <c r="P191"/>
  <c r="K191"/>
  <c r="O190"/>
  <c r="K190"/>
  <c r="P189"/>
  <c r="K189"/>
  <c r="O188"/>
  <c r="K188"/>
  <c r="O187"/>
  <c r="K187"/>
  <c r="O186"/>
  <c r="K186"/>
  <c r="O185"/>
  <c r="K185"/>
  <c r="O184"/>
  <c r="K184"/>
  <c r="P183"/>
  <c r="K183"/>
  <c r="O182"/>
  <c r="K182"/>
  <c r="O181"/>
  <c r="K181"/>
  <c r="O180"/>
  <c r="K180"/>
  <c r="P179"/>
  <c r="R179" s="1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L148"/>
  <c r="R148" s="1"/>
  <c r="O147"/>
  <c r="K147"/>
  <c r="O146"/>
  <c r="K146"/>
  <c r="O145"/>
  <c r="K145"/>
  <c r="O144"/>
  <c r="K144"/>
  <c r="P143"/>
  <c r="R143" s="1"/>
  <c r="K143"/>
  <c r="O142"/>
  <c r="L142"/>
  <c r="R142" s="1"/>
  <c r="O141"/>
  <c r="K141"/>
  <c r="O140"/>
  <c r="K140"/>
  <c r="O139"/>
  <c r="K139"/>
  <c r="P138"/>
  <c r="R138" s="1"/>
  <c r="K138"/>
  <c r="O137"/>
  <c r="K137"/>
  <c r="O136"/>
  <c r="K136"/>
  <c r="O135"/>
  <c r="K135"/>
  <c r="O134"/>
  <c r="K134"/>
  <c r="O133"/>
  <c r="K133"/>
  <c r="O132"/>
  <c r="L132"/>
  <c r="R132" s="1"/>
  <c r="O131"/>
  <c r="K131"/>
  <c r="P130"/>
  <c r="R130" s="1"/>
  <c r="K130"/>
  <c r="O129"/>
  <c r="K129"/>
  <c r="P128"/>
  <c r="K128"/>
  <c r="O127"/>
  <c r="K127"/>
  <c r="O126"/>
  <c r="K126"/>
  <c r="O125"/>
  <c r="K125"/>
  <c r="O124"/>
  <c r="K124"/>
  <c r="O123"/>
  <c r="K123"/>
  <c r="O122"/>
  <c r="K122"/>
  <c r="O121"/>
  <c r="K121"/>
  <c r="P120"/>
  <c r="K120"/>
  <c r="O119"/>
  <c r="K119"/>
  <c r="O118"/>
  <c r="K118"/>
  <c r="O117"/>
  <c r="K117"/>
  <c r="O116"/>
  <c r="K116"/>
  <c r="O115"/>
  <c r="K115"/>
  <c r="O114"/>
  <c r="K114"/>
  <c r="O113"/>
  <c r="L113"/>
  <c r="O112"/>
  <c r="K112"/>
  <c r="O111"/>
  <c r="K111"/>
  <c r="O110"/>
  <c r="K110"/>
  <c r="O109"/>
  <c r="K109"/>
  <c r="O108"/>
  <c r="K108"/>
  <c r="P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L97"/>
  <c r="O96"/>
  <c r="K96"/>
  <c r="O95"/>
  <c r="K95"/>
  <c r="O94"/>
  <c r="K94"/>
  <c r="P93"/>
  <c r="K93"/>
  <c r="O92"/>
  <c r="K92"/>
  <c r="O91"/>
  <c r="K91"/>
  <c r="O90"/>
  <c r="K90"/>
  <c r="O89"/>
  <c r="K89"/>
  <c r="O88"/>
  <c r="K88"/>
  <c r="O87"/>
  <c r="K87"/>
  <c r="O86"/>
  <c r="K86"/>
  <c r="O85"/>
  <c r="K85"/>
  <c r="P84"/>
  <c r="K84"/>
  <c r="O83"/>
  <c r="K83"/>
  <c r="O82"/>
  <c r="K82"/>
  <c r="O81"/>
  <c r="K81"/>
  <c r="O80"/>
  <c r="K80"/>
  <c r="O79"/>
  <c r="K79"/>
  <c r="O78"/>
  <c r="L78"/>
  <c r="O77"/>
  <c r="K77"/>
  <c r="O76"/>
  <c r="K76"/>
  <c r="O75"/>
  <c r="K75"/>
  <c r="O74"/>
  <c r="K74"/>
  <c r="O73"/>
  <c r="K73"/>
  <c r="P72"/>
  <c r="K72"/>
  <c r="O71"/>
  <c r="L71"/>
  <c r="O70"/>
  <c r="K70"/>
  <c r="P69"/>
  <c r="O69" s="1"/>
  <c r="L69"/>
  <c r="O68"/>
  <c r="K68"/>
  <c r="O67"/>
  <c r="K67"/>
  <c r="O66"/>
  <c r="K66"/>
  <c r="O65"/>
  <c r="K65"/>
  <c r="O64"/>
  <c r="K64"/>
  <c r="O63"/>
  <c r="K63"/>
  <c r="O62"/>
  <c r="K62"/>
  <c r="O61"/>
  <c r="K61"/>
  <c r="O60"/>
  <c r="L60"/>
  <c r="O59"/>
  <c r="K59"/>
  <c r="O58"/>
  <c r="K58"/>
  <c r="O57"/>
  <c r="K57"/>
  <c r="O56"/>
  <c r="K56"/>
  <c r="O55"/>
  <c r="K55"/>
  <c r="O54"/>
  <c r="K54"/>
  <c r="O53"/>
  <c r="K53"/>
  <c r="O52"/>
  <c r="K52"/>
  <c r="P51"/>
  <c r="O51" s="1"/>
  <c r="L51"/>
  <c r="O50"/>
  <c r="K50"/>
  <c r="O49"/>
  <c r="L49"/>
  <c r="O48"/>
  <c r="K48"/>
  <c r="P47"/>
  <c r="K47"/>
  <c r="O46"/>
  <c r="K46"/>
  <c r="P45"/>
  <c r="K45"/>
  <c r="O44"/>
  <c r="K44"/>
  <c r="O43"/>
  <c r="K43"/>
  <c r="O42"/>
  <c r="K42"/>
  <c r="P41"/>
  <c r="O41" s="1"/>
  <c r="L41"/>
  <c r="O40"/>
  <c r="K40"/>
  <c r="P39"/>
  <c r="K39"/>
  <c r="O38"/>
  <c r="K38"/>
  <c r="P37"/>
  <c r="R37" s="1"/>
  <c r="K37"/>
  <c r="O36"/>
  <c r="K36"/>
  <c r="P35"/>
  <c r="K35"/>
  <c r="O34"/>
  <c r="K34"/>
  <c r="O33"/>
  <c r="L33"/>
  <c r="O32"/>
  <c r="K32"/>
  <c r="O31"/>
  <c r="K31"/>
  <c r="O30"/>
  <c r="K30"/>
  <c r="O29"/>
  <c r="K29"/>
  <c r="P28"/>
  <c r="K28"/>
  <c r="P27"/>
  <c r="K27"/>
  <c r="O26"/>
  <c r="K26"/>
  <c r="O25"/>
  <c r="K25"/>
  <c r="O24"/>
  <c r="K24"/>
  <c r="O23"/>
  <c r="K23"/>
  <c r="O22"/>
  <c r="K22"/>
  <c r="O21"/>
  <c r="K21"/>
  <c r="P20"/>
  <c r="K20"/>
  <c r="O19"/>
  <c r="K19"/>
  <c r="O18"/>
  <c r="K18"/>
  <c r="O17"/>
  <c r="K17"/>
  <c r="P16"/>
  <c r="R16" s="1"/>
  <c r="K16"/>
  <c r="O15"/>
  <c r="K15"/>
  <c r="P14"/>
  <c r="K14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37" l="1"/>
  <c r="O28"/>
  <c r="R28"/>
  <c r="O35"/>
  <c r="R35"/>
  <c r="P207"/>
  <c r="R10"/>
  <c r="O14"/>
  <c r="R14"/>
  <c r="O16"/>
  <c r="R33"/>
  <c r="L210"/>
  <c r="O39"/>
  <c r="R39"/>
  <c r="O45"/>
  <c r="R45"/>
  <c r="O47"/>
  <c r="R47"/>
  <c r="O72"/>
  <c r="R72"/>
  <c r="O84"/>
  <c r="R84"/>
  <c r="O93"/>
  <c r="R93"/>
  <c r="O107"/>
  <c r="R107"/>
  <c r="O120"/>
  <c r="R120"/>
  <c r="O128"/>
  <c r="R128"/>
  <c r="O130"/>
  <c r="K132"/>
  <c r="O138"/>
  <c r="K142"/>
  <c r="O143"/>
  <c r="K148"/>
  <c r="O179"/>
  <c r="O200"/>
  <c r="R200"/>
  <c r="O20"/>
  <c r="R20"/>
  <c r="O27"/>
  <c r="R27"/>
  <c r="K41"/>
  <c r="R41"/>
  <c r="K49"/>
  <c r="R49"/>
  <c r="K51"/>
  <c r="R51"/>
  <c r="K60"/>
  <c r="R60"/>
  <c r="K69"/>
  <c r="R69"/>
  <c r="K71"/>
  <c r="R71"/>
  <c r="K78"/>
  <c r="R78"/>
  <c r="K97"/>
  <c r="R97"/>
  <c r="K113"/>
  <c r="R113"/>
  <c r="O183"/>
  <c r="R183"/>
  <c r="O189"/>
  <c r="R189"/>
  <c r="O191"/>
  <c r="R191"/>
  <c r="O10"/>
  <c r="L207"/>
  <c r="K33"/>
  <c r="K207" s="1"/>
  <c r="Q207" i="93"/>
  <c r="N207"/>
  <c r="M207"/>
  <c r="J207"/>
  <c r="I207"/>
  <c r="H207"/>
  <c r="O206"/>
  <c r="K206"/>
  <c r="O205"/>
  <c r="K205"/>
  <c r="O204"/>
  <c r="K204"/>
  <c r="O202"/>
  <c r="K202"/>
  <c r="O201"/>
  <c r="K201"/>
  <c r="P200"/>
  <c r="O200" s="1"/>
  <c r="K200"/>
  <c r="O199"/>
  <c r="K199"/>
  <c r="P198"/>
  <c r="O198"/>
  <c r="K198"/>
  <c r="O197"/>
  <c r="K197"/>
  <c r="O196"/>
  <c r="K196"/>
  <c r="O195"/>
  <c r="K195"/>
  <c r="O194"/>
  <c r="K194"/>
  <c r="O193"/>
  <c r="K193"/>
  <c r="O192"/>
  <c r="K192"/>
  <c r="P191"/>
  <c r="O191" s="1"/>
  <c r="K191"/>
  <c r="O190"/>
  <c r="K190"/>
  <c r="P189"/>
  <c r="O189" s="1"/>
  <c r="K189"/>
  <c r="O188"/>
  <c r="K188"/>
  <c r="O187"/>
  <c r="K187"/>
  <c r="O186"/>
  <c r="K186"/>
  <c r="O185"/>
  <c r="K185"/>
  <c r="O184"/>
  <c r="K184"/>
  <c r="P183"/>
  <c r="O183" s="1"/>
  <c r="K183"/>
  <c r="O182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L148"/>
  <c r="K148" s="1"/>
  <c r="O147"/>
  <c r="K147"/>
  <c r="O146"/>
  <c r="K146"/>
  <c r="O145"/>
  <c r="K145"/>
  <c r="O144"/>
  <c r="K144"/>
  <c r="P143"/>
  <c r="O143" s="1"/>
  <c r="K143"/>
  <c r="O142"/>
  <c r="L142"/>
  <c r="K142" s="1"/>
  <c r="O141"/>
  <c r="K141"/>
  <c r="O140"/>
  <c r="K140"/>
  <c r="O139"/>
  <c r="K139"/>
  <c r="P138"/>
  <c r="O138" s="1"/>
  <c r="K138"/>
  <c r="O137"/>
  <c r="K137"/>
  <c r="O136"/>
  <c r="K136"/>
  <c r="O135"/>
  <c r="K135"/>
  <c r="O134"/>
  <c r="K134"/>
  <c r="O133"/>
  <c r="K133"/>
  <c r="O132"/>
  <c r="L132"/>
  <c r="K132" s="1"/>
  <c r="O131"/>
  <c r="K131"/>
  <c r="P130"/>
  <c r="O130" s="1"/>
  <c r="K130"/>
  <c r="O129"/>
  <c r="K129"/>
  <c r="P128"/>
  <c r="O128" s="1"/>
  <c r="K128"/>
  <c r="O127"/>
  <c r="K127"/>
  <c r="O126"/>
  <c r="K126"/>
  <c r="O125"/>
  <c r="K125"/>
  <c r="O124"/>
  <c r="K124"/>
  <c r="O123"/>
  <c r="K123"/>
  <c r="O122"/>
  <c r="K122"/>
  <c r="O121"/>
  <c r="K121"/>
  <c r="P120"/>
  <c r="O120" s="1"/>
  <c r="K120"/>
  <c r="O119"/>
  <c r="K119"/>
  <c r="O118"/>
  <c r="K118"/>
  <c r="O117"/>
  <c r="K117"/>
  <c r="O116"/>
  <c r="K116"/>
  <c r="O115"/>
  <c r="K115"/>
  <c r="O114"/>
  <c r="K114"/>
  <c r="O113"/>
  <c r="L113"/>
  <c r="K113" s="1"/>
  <c r="O112"/>
  <c r="K112"/>
  <c r="O111"/>
  <c r="K111"/>
  <c r="O110"/>
  <c r="K110"/>
  <c r="O109"/>
  <c r="K109"/>
  <c r="O108"/>
  <c r="K108"/>
  <c r="P107"/>
  <c r="O107" s="1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L97"/>
  <c r="K97" s="1"/>
  <c r="O96"/>
  <c r="K96"/>
  <c r="O95"/>
  <c r="K95"/>
  <c r="O94"/>
  <c r="K94"/>
  <c r="P93"/>
  <c r="O93" s="1"/>
  <c r="K93"/>
  <c r="O92"/>
  <c r="K92"/>
  <c r="O91"/>
  <c r="K91"/>
  <c r="O90"/>
  <c r="K90"/>
  <c r="O89"/>
  <c r="K89"/>
  <c r="O88"/>
  <c r="K88"/>
  <c r="O87"/>
  <c r="K87"/>
  <c r="O86"/>
  <c r="K86"/>
  <c r="O85"/>
  <c r="K85"/>
  <c r="P84"/>
  <c r="O84" s="1"/>
  <c r="K84"/>
  <c r="O83"/>
  <c r="K83"/>
  <c r="O82"/>
  <c r="K82"/>
  <c r="O81"/>
  <c r="K81"/>
  <c r="O80"/>
  <c r="K80"/>
  <c r="O79"/>
  <c r="K79"/>
  <c r="O78"/>
  <c r="L78"/>
  <c r="K78" s="1"/>
  <c r="O77"/>
  <c r="K77"/>
  <c r="O76"/>
  <c r="K76"/>
  <c r="O75"/>
  <c r="K75"/>
  <c r="O74"/>
  <c r="K74"/>
  <c r="O73"/>
  <c r="K73"/>
  <c r="P72"/>
  <c r="O72" s="1"/>
  <c r="K72"/>
  <c r="O71"/>
  <c r="L71"/>
  <c r="K71" s="1"/>
  <c r="O70"/>
  <c r="K70"/>
  <c r="P69"/>
  <c r="O69" s="1"/>
  <c r="L69"/>
  <c r="K69" s="1"/>
  <c r="O68"/>
  <c r="K68"/>
  <c r="O67"/>
  <c r="K67"/>
  <c r="O66"/>
  <c r="K66"/>
  <c r="O65"/>
  <c r="K65"/>
  <c r="O64"/>
  <c r="K64"/>
  <c r="O63"/>
  <c r="K63"/>
  <c r="O62"/>
  <c r="K62"/>
  <c r="O61"/>
  <c r="K61"/>
  <c r="O60"/>
  <c r="L60"/>
  <c r="K60" s="1"/>
  <c r="O59"/>
  <c r="K59"/>
  <c r="O58"/>
  <c r="K58"/>
  <c r="O57"/>
  <c r="K57"/>
  <c r="O56"/>
  <c r="K56"/>
  <c r="O55"/>
  <c r="K55"/>
  <c r="O54"/>
  <c r="K54"/>
  <c r="O53"/>
  <c r="K53"/>
  <c r="O52"/>
  <c r="K52"/>
  <c r="P51"/>
  <c r="O51" s="1"/>
  <c r="L51"/>
  <c r="K51" s="1"/>
  <c r="O50"/>
  <c r="K50"/>
  <c r="O49"/>
  <c r="L49"/>
  <c r="K49" s="1"/>
  <c r="O48"/>
  <c r="K48"/>
  <c r="P47"/>
  <c r="O47" s="1"/>
  <c r="K47"/>
  <c r="O46"/>
  <c r="K46"/>
  <c r="P45"/>
  <c r="O45" s="1"/>
  <c r="K45"/>
  <c r="O44"/>
  <c r="K44"/>
  <c r="O43"/>
  <c r="K43"/>
  <c r="O42"/>
  <c r="K42"/>
  <c r="P41"/>
  <c r="O41" s="1"/>
  <c r="L41"/>
  <c r="K41" s="1"/>
  <c r="O40"/>
  <c r="K40"/>
  <c r="P39"/>
  <c r="O39" s="1"/>
  <c r="K39"/>
  <c r="O38"/>
  <c r="K38"/>
  <c r="P37"/>
  <c r="O37" s="1"/>
  <c r="K37"/>
  <c r="O36"/>
  <c r="K36"/>
  <c r="P35"/>
  <c r="O35" s="1"/>
  <c r="K35"/>
  <c r="O34"/>
  <c r="K34"/>
  <c r="O33"/>
  <c r="L33"/>
  <c r="O32"/>
  <c r="K32"/>
  <c r="O31"/>
  <c r="K31"/>
  <c r="O30"/>
  <c r="K30"/>
  <c r="O29"/>
  <c r="K29"/>
  <c r="P28"/>
  <c r="O28" s="1"/>
  <c r="K28"/>
  <c r="P27"/>
  <c r="O27" s="1"/>
  <c r="K27"/>
  <c r="O26"/>
  <c r="K26"/>
  <c r="O25"/>
  <c r="K25"/>
  <c r="O24"/>
  <c r="K24"/>
  <c r="O23"/>
  <c r="K23"/>
  <c r="O22"/>
  <c r="K22"/>
  <c r="O21"/>
  <c r="K21"/>
  <c r="P20"/>
  <c r="O20" s="1"/>
  <c r="K20"/>
  <c r="O19"/>
  <c r="K19"/>
  <c r="O18"/>
  <c r="K18"/>
  <c r="O17"/>
  <c r="K17"/>
  <c r="P16"/>
  <c r="O16" s="1"/>
  <c r="K16"/>
  <c r="O15"/>
  <c r="K15"/>
  <c r="P14"/>
  <c r="O14" s="1"/>
  <c r="K14"/>
  <c r="O13"/>
  <c r="K13"/>
  <c r="O12"/>
  <c r="K12"/>
  <c r="O11"/>
  <c r="K11"/>
  <c r="P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207" i="94" l="1"/>
  <c r="O210"/>
  <c r="O212" s="1"/>
  <c r="P207" i="93"/>
  <c r="O10"/>
  <c r="L207"/>
  <c r="O207"/>
  <c r="K33"/>
  <c r="K207" s="1"/>
  <c r="K204" i="92"/>
  <c r="O204"/>
  <c r="K68" l="1"/>
  <c r="O68"/>
  <c r="P16" l="1"/>
  <c r="P51"/>
  <c r="L51"/>
  <c r="P20"/>
  <c r="P84"/>
  <c r="P128"/>
  <c r="P27"/>
  <c r="P198"/>
  <c r="P130"/>
  <c r="P72"/>
  <c r="P143"/>
  <c r="P189"/>
  <c r="P120"/>
  <c r="P41"/>
  <c r="P179"/>
  <c r="P39"/>
  <c r="P14"/>
  <c r="P35"/>
  <c r="P10"/>
  <c r="P93"/>
  <c r="P138"/>
  <c r="P28"/>
  <c r="P107"/>
  <c r="P37"/>
  <c r="P191"/>
  <c r="P47"/>
  <c r="P200"/>
  <c r="P45"/>
  <c r="P183"/>
  <c r="P69"/>
  <c r="L113"/>
  <c r="L60"/>
  <c r="L97"/>
  <c r="L33"/>
  <c r="L142"/>
  <c r="L41"/>
  <c r="L78"/>
  <c r="L132"/>
  <c r="L71"/>
  <c r="L49"/>
  <c r="L148"/>
  <c r="L69"/>
  <c r="P207" l="1"/>
  <c r="N207"/>
  <c r="M207"/>
  <c r="L207"/>
  <c r="J207"/>
  <c r="I207"/>
  <c r="H207"/>
  <c r="O206"/>
  <c r="K206"/>
  <c r="O205"/>
  <c r="K205"/>
  <c r="O202"/>
  <c r="K202"/>
  <c r="O201"/>
  <c r="K201"/>
  <c r="O200"/>
  <c r="K200"/>
  <c r="O199"/>
  <c r="K199"/>
  <c r="O198"/>
  <c r="K198"/>
  <c r="O197"/>
  <c r="K197"/>
  <c r="O196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6"/>
  <c r="K186"/>
  <c r="O185"/>
  <c r="K185"/>
  <c r="O184"/>
  <c r="K184"/>
  <c r="O183"/>
  <c r="K183"/>
  <c r="O182"/>
  <c r="K182"/>
  <c r="O181"/>
  <c r="K181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10"/>
  <c r="K110"/>
  <c r="O109"/>
  <c r="K109"/>
  <c r="O108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Q207"/>
  <c r="K74"/>
  <c r="O73"/>
  <c r="K73"/>
  <c r="O72"/>
  <c r="K72"/>
  <c r="O71"/>
  <c r="K71"/>
  <c r="O70"/>
  <c r="K70"/>
  <c r="O69"/>
  <c r="K69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7" l="1"/>
  <c r="O74"/>
  <c r="O207" s="1"/>
  <c r="N206" i="91"/>
  <c r="K57" l="1"/>
  <c r="O57"/>
  <c r="Q134" l="1"/>
  <c r="Q140"/>
  <c r="O140" s="1"/>
  <c r="Q74"/>
  <c r="Q107"/>
  <c r="O107" s="1"/>
  <c r="Q116"/>
  <c r="Q126"/>
  <c r="O126" s="1"/>
  <c r="P206"/>
  <c r="M206"/>
  <c r="L206"/>
  <c r="J206"/>
  <c r="I206"/>
  <c r="H206"/>
  <c r="O205"/>
  <c r="K205"/>
  <c r="O204"/>
  <c r="K204"/>
  <c r="O203"/>
  <c r="K203"/>
  <c r="O202"/>
  <c r="K202"/>
  <c r="O201"/>
  <c r="K201"/>
  <c r="O200"/>
  <c r="K200"/>
  <c r="O199"/>
  <c r="K199"/>
  <c r="O198"/>
  <c r="K198"/>
  <c r="O197"/>
  <c r="K197"/>
  <c r="O196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6"/>
  <c r="K186"/>
  <c r="O185"/>
  <c r="K185"/>
  <c r="O184"/>
  <c r="K184"/>
  <c r="O183"/>
  <c r="K183"/>
  <c r="O182"/>
  <c r="K182"/>
  <c r="O181"/>
  <c r="K181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O127"/>
  <c r="K127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10"/>
  <c r="K110"/>
  <c r="O109"/>
  <c r="K109"/>
  <c r="O108"/>
  <c r="K108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Q206" l="1"/>
  <c r="O206"/>
  <c r="K206"/>
  <c r="O11" i="90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10"/>
  <c r="Q206" l="1"/>
  <c r="P206"/>
  <c r="O206"/>
  <c r="N206"/>
  <c r="M206"/>
  <c r="L206"/>
  <c r="K206"/>
  <c r="J206"/>
  <c r="I206"/>
  <c r="H206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Q206" i="89" l="1"/>
  <c r="O206"/>
  <c r="P206"/>
  <c r="N206" l="1"/>
  <c r="J206"/>
  <c r="I206"/>
  <c r="H206"/>
  <c r="M206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6" l="1"/>
  <c r="K206"/>
  <c r="K187" i="88"/>
  <c r="O187"/>
  <c r="K55"/>
  <c r="O55"/>
  <c r="K15"/>
  <c r="O15"/>
  <c r="K42"/>
  <c r="O42"/>
  <c r="M69" l="1"/>
  <c r="Q74"/>
  <c r="Q180"/>
  <c r="Q47"/>
  <c r="Q127"/>
  <c r="Q205" l="1"/>
  <c r="N205"/>
  <c r="M205"/>
  <c r="J205"/>
  <c r="I205"/>
  <c r="H205"/>
  <c r="O204"/>
  <c r="K204"/>
  <c r="K203"/>
  <c r="K202"/>
  <c r="O201"/>
  <c r="K201"/>
  <c r="O200"/>
  <c r="K200"/>
  <c r="P199"/>
  <c r="O199"/>
  <c r="K199"/>
  <c r="O198"/>
  <c r="K198"/>
  <c r="O197"/>
  <c r="L197"/>
  <c r="K197"/>
  <c r="O196"/>
  <c r="K196"/>
  <c r="O195"/>
  <c r="K195"/>
  <c r="O194"/>
  <c r="K194"/>
  <c r="O193"/>
  <c r="K193"/>
  <c r="L192"/>
  <c r="K192"/>
  <c r="O191"/>
  <c r="K191"/>
  <c r="P190"/>
  <c r="O190"/>
  <c r="K190"/>
  <c r="O189"/>
  <c r="K189"/>
  <c r="P188"/>
  <c r="O188" s="1"/>
  <c r="K188"/>
  <c r="O186"/>
  <c r="K186"/>
  <c r="P185"/>
  <c r="O185" s="1"/>
  <c r="K185"/>
  <c r="O184"/>
  <c r="K184"/>
  <c r="P183"/>
  <c r="O183" s="1"/>
  <c r="L183"/>
  <c r="K183" s="1"/>
  <c r="P182"/>
  <c r="O182" s="1"/>
  <c r="K182"/>
  <c r="O181"/>
  <c r="K181"/>
  <c r="P180"/>
  <c r="O180" s="1"/>
  <c r="L180"/>
  <c r="K180" s="1"/>
  <c r="O179"/>
  <c r="K179"/>
  <c r="O178"/>
  <c r="K178"/>
  <c r="O177"/>
  <c r="K177"/>
  <c r="O176"/>
  <c r="K176"/>
  <c r="O175"/>
  <c r="K175"/>
  <c r="P174"/>
  <c r="O174" s="1"/>
  <c r="K174"/>
  <c r="O173"/>
  <c r="K173"/>
  <c r="O172"/>
  <c r="K172"/>
  <c r="O171"/>
  <c r="K171"/>
  <c r="O170"/>
  <c r="K170"/>
  <c r="O169"/>
  <c r="K169"/>
  <c r="O168"/>
  <c r="K168"/>
  <c r="O167"/>
  <c r="K167"/>
  <c r="O165"/>
  <c r="K165"/>
  <c r="P164"/>
  <c r="O164" s="1"/>
  <c r="K164"/>
  <c r="O163"/>
  <c r="K163"/>
  <c r="O162"/>
  <c r="K162"/>
  <c r="O161"/>
  <c r="K161"/>
  <c r="O160"/>
  <c r="K160"/>
  <c r="O159"/>
  <c r="K159"/>
  <c r="P158"/>
  <c r="O158" s="1"/>
  <c r="L158"/>
  <c r="K158" s="1"/>
  <c r="O157"/>
  <c r="K157"/>
  <c r="O156"/>
  <c r="K156"/>
  <c r="O155"/>
  <c r="K155"/>
  <c r="O154"/>
  <c r="K154"/>
  <c r="P153"/>
  <c r="O153" s="1"/>
  <c r="K153"/>
  <c r="O152"/>
  <c r="K152"/>
  <c r="O151"/>
  <c r="K151"/>
  <c r="P150"/>
  <c r="O150" s="1"/>
  <c r="L150"/>
  <c r="K150" s="1"/>
  <c r="O149"/>
  <c r="K149"/>
  <c r="O148"/>
  <c r="K148"/>
  <c r="P147"/>
  <c r="O147" s="1"/>
  <c r="L147"/>
  <c r="K147" s="1"/>
  <c r="O146"/>
  <c r="K146"/>
  <c r="O145"/>
  <c r="K145"/>
  <c r="P144"/>
  <c r="O144" s="1"/>
  <c r="K144"/>
  <c r="O143"/>
  <c r="K143"/>
  <c r="P142"/>
  <c r="O142" s="1"/>
  <c r="K142"/>
  <c r="P141"/>
  <c r="O141" s="1"/>
  <c r="L141"/>
  <c r="K141" s="1"/>
  <c r="O140"/>
  <c r="K140"/>
  <c r="P139"/>
  <c r="O139" s="1"/>
  <c r="K139"/>
  <c r="O138"/>
  <c r="K138"/>
  <c r="P137"/>
  <c r="O137" s="1"/>
  <c r="K137"/>
  <c r="O136"/>
  <c r="K136"/>
  <c r="P135"/>
  <c r="O135" s="1"/>
  <c r="K135"/>
  <c r="O134"/>
  <c r="K134"/>
  <c r="P133"/>
  <c r="O133" s="1"/>
  <c r="K133"/>
  <c r="O132"/>
  <c r="K132"/>
  <c r="P131"/>
  <c r="O131" s="1"/>
  <c r="L131"/>
  <c r="K131" s="1"/>
  <c r="O130"/>
  <c r="K130"/>
  <c r="P129"/>
  <c r="O129" s="1"/>
  <c r="L129"/>
  <c r="K129" s="1"/>
  <c r="O128"/>
  <c r="K128"/>
  <c r="O127"/>
  <c r="L127"/>
  <c r="K127" s="1"/>
  <c r="O126"/>
  <c r="K126"/>
  <c r="P125"/>
  <c r="O125" s="1"/>
  <c r="K125"/>
  <c r="O123"/>
  <c r="K123"/>
  <c r="O122"/>
  <c r="K122"/>
  <c r="O120"/>
  <c r="K120"/>
  <c r="P119"/>
  <c r="O119" s="1"/>
  <c r="L119"/>
  <c r="K119" s="1"/>
  <c r="O118"/>
  <c r="K118"/>
  <c r="O117"/>
  <c r="K117"/>
  <c r="O116"/>
  <c r="K116"/>
  <c r="P115"/>
  <c r="O115" s="1"/>
  <c r="L115"/>
  <c r="K115" s="1"/>
  <c r="O114"/>
  <c r="K114"/>
  <c r="O113"/>
  <c r="K113"/>
  <c r="O111"/>
  <c r="K111"/>
  <c r="O110"/>
  <c r="K110"/>
  <c r="O109"/>
  <c r="K109"/>
  <c r="O108"/>
  <c r="K108"/>
  <c r="O107"/>
  <c r="K107"/>
  <c r="P106"/>
  <c r="O106" s="1"/>
  <c r="L106"/>
  <c r="K106" s="1"/>
  <c r="O105"/>
  <c r="K105"/>
  <c r="O104"/>
  <c r="K104"/>
  <c r="O103"/>
  <c r="K103"/>
  <c r="P102"/>
  <c r="O102" s="1"/>
  <c r="L102"/>
  <c r="K102" s="1"/>
  <c r="O101"/>
  <c r="K101"/>
  <c r="O100"/>
  <c r="K100"/>
  <c r="O99"/>
  <c r="K99"/>
  <c r="O98"/>
  <c r="K98"/>
  <c r="P97"/>
  <c r="O97" s="1"/>
  <c r="K97"/>
  <c r="P96"/>
  <c r="O96" s="1"/>
  <c r="K96"/>
  <c r="O95"/>
  <c r="K95"/>
  <c r="O94"/>
  <c r="K94"/>
  <c r="O93"/>
  <c r="K93"/>
  <c r="P92"/>
  <c r="O92" s="1"/>
  <c r="K92"/>
  <c r="O91"/>
  <c r="K91"/>
  <c r="O90"/>
  <c r="K90"/>
  <c r="O89"/>
  <c r="K89"/>
  <c r="O88"/>
  <c r="K88"/>
  <c r="P87"/>
  <c r="O87" s="1"/>
  <c r="L87"/>
  <c r="K87" s="1"/>
  <c r="O86"/>
  <c r="K86"/>
  <c r="P85"/>
  <c r="O85" s="1"/>
  <c r="K85"/>
  <c r="P84"/>
  <c r="O84" s="1"/>
  <c r="L84"/>
  <c r="K84" s="1"/>
  <c r="O83"/>
  <c r="K83"/>
  <c r="O82"/>
  <c r="K82"/>
  <c r="O81"/>
  <c r="K81"/>
  <c r="O80"/>
  <c r="K80"/>
  <c r="O79"/>
  <c r="K79"/>
  <c r="P78"/>
  <c r="O78" s="1"/>
  <c r="K78"/>
  <c r="O77"/>
  <c r="K77"/>
  <c r="O76"/>
  <c r="K76"/>
  <c r="O75"/>
  <c r="K75"/>
  <c r="P74"/>
  <c r="O74" s="1"/>
  <c r="L74"/>
  <c r="K74" s="1"/>
  <c r="O73"/>
  <c r="K73"/>
  <c r="P72"/>
  <c r="O72" s="1"/>
  <c r="L72"/>
  <c r="K72" s="1"/>
  <c r="O71"/>
  <c r="K71"/>
  <c r="O70"/>
  <c r="K70"/>
  <c r="P69"/>
  <c r="O69" s="1"/>
  <c r="K69"/>
  <c r="O68"/>
  <c r="K68"/>
  <c r="P67"/>
  <c r="O67" s="1"/>
  <c r="K67"/>
  <c r="P66"/>
  <c r="O66" s="1"/>
  <c r="K66"/>
  <c r="O65"/>
  <c r="K65"/>
  <c r="P64"/>
  <c r="O64" s="1"/>
  <c r="K64"/>
  <c r="O63"/>
  <c r="K63"/>
  <c r="P62"/>
  <c r="O62" s="1"/>
  <c r="L62"/>
  <c r="K62" s="1"/>
  <c r="P61"/>
  <c r="O61" s="1"/>
  <c r="L61"/>
  <c r="K61" s="1"/>
  <c r="O60"/>
  <c r="K60"/>
  <c r="O59"/>
  <c r="K59"/>
  <c r="O58"/>
  <c r="K58"/>
  <c r="O57"/>
  <c r="K57"/>
  <c r="P54"/>
  <c r="O54" s="1"/>
  <c r="K54"/>
  <c r="O53"/>
  <c r="K53"/>
  <c r="O52"/>
  <c r="K52"/>
  <c r="P51"/>
  <c r="O51" s="1"/>
  <c r="K51"/>
  <c r="O50"/>
  <c r="K50"/>
  <c r="O49"/>
  <c r="K49"/>
  <c r="O48"/>
  <c r="K48"/>
  <c r="P47"/>
  <c r="O47" s="1"/>
  <c r="K47"/>
  <c r="O46"/>
  <c r="K46"/>
  <c r="P45"/>
  <c r="O45" s="1"/>
  <c r="K45"/>
  <c r="O44"/>
  <c r="K44"/>
  <c r="P43"/>
  <c r="O43" s="1"/>
  <c r="K43"/>
  <c r="P41"/>
  <c r="O41" s="1"/>
  <c r="K41"/>
  <c r="O40"/>
  <c r="K40"/>
  <c r="P39"/>
  <c r="O39" s="1"/>
  <c r="K39"/>
  <c r="O38"/>
  <c r="K38"/>
  <c r="P37"/>
  <c r="O37" s="1"/>
  <c r="K37"/>
  <c r="O36"/>
  <c r="K36"/>
  <c r="P35"/>
  <c r="O35" s="1"/>
  <c r="K35"/>
  <c r="O34"/>
  <c r="K34"/>
  <c r="P33"/>
  <c r="O33" s="1"/>
  <c r="L33"/>
  <c r="K33" s="1"/>
  <c r="O32"/>
  <c r="K32"/>
  <c r="O31"/>
  <c r="K31"/>
  <c r="P30"/>
  <c r="O30" s="1"/>
  <c r="K30"/>
  <c r="O29"/>
  <c r="K29"/>
  <c r="P28"/>
  <c r="O28" s="1"/>
  <c r="K28"/>
  <c r="O27"/>
  <c r="L27"/>
  <c r="K27" s="1"/>
  <c r="O25"/>
  <c r="K25"/>
  <c r="O24"/>
  <c r="K24"/>
  <c r="P23"/>
  <c r="O23" s="1"/>
  <c r="K23"/>
  <c r="O22"/>
  <c r="K22"/>
  <c r="O21"/>
  <c r="K21"/>
  <c r="P20"/>
  <c r="O20" s="1"/>
  <c r="L20"/>
  <c r="K20" s="1"/>
  <c r="P19"/>
  <c r="O19" s="1"/>
  <c r="K19"/>
  <c r="O18"/>
  <c r="K18"/>
  <c r="O17"/>
  <c r="K17"/>
  <c r="P16"/>
  <c r="O16" s="1"/>
  <c r="L16"/>
  <c r="K16" s="1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5" l="1"/>
  <c r="O205"/>
  <c r="L205"/>
  <c r="P205"/>
  <c r="L60" i="87"/>
  <c r="L83"/>
  <c r="K83" s="1"/>
  <c r="L140"/>
  <c r="L101"/>
  <c r="K101" s="1"/>
  <c r="L130"/>
  <c r="L157"/>
  <c r="K157" s="1"/>
  <c r="P157"/>
  <c r="O157" s="1"/>
  <c r="P38"/>
  <c r="P130"/>
  <c r="P101"/>
  <c r="O101" s="1"/>
  <c r="P60"/>
  <c r="O60" s="1"/>
  <c r="O38"/>
  <c r="P61"/>
  <c r="P19"/>
  <c r="O19" s="1"/>
  <c r="P29"/>
  <c r="P32"/>
  <c r="O32" s="1"/>
  <c r="P141"/>
  <c r="P140"/>
  <c r="O140" s="1"/>
  <c r="P132"/>
  <c r="P138"/>
  <c r="O138" s="1"/>
  <c r="P63"/>
  <c r="P40"/>
  <c r="O40" s="1"/>
  <c r="P53"/>
  <c r="Q204"/>
  <c r="N204"/>
  <c r="M204"/>
  <c r="J204"/>
  <c r="I204"/>
  <c r="H204"/>
  <c r="O203"/>
  <c r="K203"/>
  <c r="K202"/>
  <c r="K201"/>
  <c r="O200"/>
  <c r="K200"/>
  <c r="O199"/>
  <c r="K199"/>
  <c r="P198"/>
  <c r="O198" s="1"/>
  <c r="K198"/>
  <c r="O197"/>
  <c r="K197"/>
  <c r="O196"/>
  <c r="L196"/>
  <c r="K196" s="1"/>
  <c r="O195"/>
  <c r="K195"/>
  <c r="O194"/>
  <c r="K194"/>
  <c r="O193"/>
  <c r="K193"/>
  <c r="O192"/>
  <c r="K192"/>
  <c r="L191"/>
  <c r="K191" s="1"/>
  <c r="O190"/>
  <c r="K190"/>
  <c r="P189"/>
  <c r="O189" s="1"/>
  <c r="K189"/>
  <c r="O188"/>
  <c r="K188"/>
  <c r="P187"/>
  <c r="O187" s="1"/>
  <c r="K187"/>
  <c r="O185"/>
  <c r="K185"/>
  <c r="P184"/>
  <c r="O184" s="1"/>
  <c r="K184"/>
  <c r="O183"/>
  <c r="K183"/>
  <c r="P182"/>
  <c r="O182" s="1"/>
  <c r="L182"/>
  <c r="K182" s="1"/>
  <c r="P181"/>
  <c r="O181" s="1"/>
  <c r="K181"/>
  <c r="O180"/>
  <c r="K180"/>
  <c r="P179"/>
  <c r="O179" s="1"/>
  <c r="L179"/>
  <c r="K179" s="1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O156"/>
  <c r="K156"/>
  <c r="O155"/>
  <c r="K155"/>
  <c r="O154"/>
  <c r="K154"/>
  <c r="O153"/>
  <c r="K153"/>
  <c r="P152"/>
  <c r="O152" s="1"/>
  <c r="K152"/>
  <c r="O151"/>
  <c r="K151"/>
  <c r="O150"/>
  <c r="K150"/>
  <c r="P149"/>
  <c r="O149" s="1"/>
  <c r="L149"/>
  <c r="K149" s="1"/>
  <c r="O148"/>
  <c r="K148"/>
  <c r="O147"/>
  <c r="K147"/>
  <c r="P146"/>
  <c r="O146" s="1"/>
  <c r="L146"/>
  <c r="K146" s="1"/>
  <c r="O145"/>
  <c r="K145"/>
  <c r="O144"/>
  <c r="K144"/>
  <c r="P143"/>
  <c r="O143" s="1"/>
  <c r="K143"/>
  <c r="O142"/>
  <c r="K142"/>
  <c r="O141"/>
  <c r="K141"/>
  <c r="K140"/>
  <c r="O139"/>
  <c r="K139"/>
  <c r="K138"/>
  <c r="O137"/>
  <c r="K137"/>
  <c r="P136"/>
  <c r="O136" s="1"/>
  <c r="K136"/>
  <c r="O135"/>
  <c r="K135"/>
  <c r="P134"/>
  <c r="O134" s="1"/>
  <c r="K134"/>
  <c r="O133"/>
  <c r="K133"/>
  <c r="O132"/>
  <c r="K132"/>
  <c r="O131"/>
  <c r="K131"/>
  <c r="O130"/>
  <c r="K130"/>
  <c r="O129"/>
  <c r="K129"/>
  <c r="P128"/>
  <c r="O128" s="1"/>
  <c r="L128"/>
  <c r="K128" s="1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P118"/>
  <c r="O118" s="1"/>
  <c r="L118"/>
  <c r="K118" s="1"/>
  <c r="O117"/>
  <c r="K117"/>
  <c r="O116"/>
  <c r="K116"/>
  <c r="O115"/>
  <c r="K115"/>
  <c r="P114"/>
  <c r="O114" s="1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L105"/>
  <c r="K105" s="1"/>
  <c r="O104"/>
  <c r="K104"/>
  <c r="O103"/>
  <c r="K103"/>
  <c r="O102"/>
  <c r="K102"/>
  <c r="O100"/>
  <c r="K100"/>
  <c r="O99"/>
  <c r="K99"/>
  <c r="O98"/>
  <c r="K98"/>
  <c r="O97"/>
  <c r="K97"/>
  <c r="P96"/>
  <c r="O96" s="1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P83"/>
  <c r="O83" s="1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L71"/>
  <c r="K71" s="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O63"/>
  <c r="K63"/>
  <c r="O62"/>
  <c r="K62"/>
  <c r="O61"/>
  <c r="L61"/>
  <c r="K61" s="1"/>
  <c r="K60"/>
  <c r="O59"/>
  <c r="K59"/>
  <c r="O58"/>
  <c r="K58"/>
  <c r="O57"/>
  <c r="K57"/>
  <c r="O56"/>
  <c r="K56"/>
  <c r="O54"/>
  <c r="K54"/>
  <c r="O53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K40"/>
  <c r="O39"/>
  <c r="K39"/>
  <c r="K38"/>
  <c r="O37"/>
  <c r="K37"/>
  <c r="P36"/>
  <c r="O36" s="1"/>
  <c r="K36"/>
  <c r="O35"/>
  <c r="K35"/>
  <c r="P34"/>
  <c r="O34" s="1"/>
  <c r="K34"/>
  <c r="O33"/>
  <c r="K33"/>
  <c r="L32"/>
  <c r="K32" s="1"/>
  <c r="O31"/>
  <c r="K31"/>
  <c r="O30"/>
  <c r="K30"/>
  <c r="O29"/>
  <c r="K29"/>
  <c r="O28"/>
  <c r="K28"/>
  <c r="P27"/>
  <c r="O27" s="1"/>
  <c r="K27"/>
  <c r="O26"/>
  <c r="L26"/>
  <c r="K26" s="1"/>
  <c r="O25"/>
  <c r="K25"/>
  <c r="O24"/>
  <c r="K24"/>
  <c r="P23"/>
  <c r="O23" s="1"/>
  <c r="K23"/>
  <c r="O22"/>
  <c r="K22"/>
  <c r="O21"/>
  <c r="K21"/>
  <c r="P20"/>
  <c r="O20" s="1"/>
  <c r="L20"/>
  <c r="K20" s="1"/>
  <c r="K19"/>
  <c r="O18"/>
  <c r="K18"/>
  <c r="O17"/>
  <c r="K17"/>
  <c r="P16"/>
  <c r="O16" s="1"/>
  <c r="L16"/>
  <c r="K16" s="1"/>
  <c r="O15"/>
  <c r="K15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4" l="1"/>
  <c r="P204"/>
  <c r="O204"/>
  <c r="L204"/>
  <c r="Q203" i="86"/>
  <c r="N203"/>
  <c r="M203"/>
  <c r="J203"/>
  <c r="I203"/>
  <c r="H203"/>
  <c r="O202"/>
  <c r="K202"/>
  <c r="K201"/>
  <c r="K200"/>
  <c r="O199"/>
  <c r="K199"/>
  <c r="O198"/>
  <c r="K198"/>
  <c r="P197"/>
  <c r="O197"/>
  <c r="K197"/>
  <c r="O196"/>
  <c r="K196"/>
  <c r="O195"/>
  <c r="L195"/>
  <c r="K195"/>
  <c r="O194"/>
  <c r="K194"/>
  <c r="O193"/>
  <c r="K193"/>
  <c r="O192"/>
  <c r="K192"/>
  <c r="O191"/>
  <c r="K191"/>
  <c r="L190"/>
  <c r="K190"/>
  <c r="O189"/>
  <c r="K189"/>
  <c r="P188"/>
  <c r="O188"/>
  <c r="K188"/>
  <c r="O187"/>
  <c r="K187"/>
  <c r="P186"/>
  <c r="O186" s="1"/>
  <c r="K186"/>
  <c r="O185"/>
  <c r="K185"/>
  <c r="P184"/>
  <c r="O184" s="1"/>
  <c r="K184"/>
  <c r="O183"/>
  <c r="K183"/>
  <c r="P182"/>
  <c r="O182" s="1"/>
  <c r="L182"/>
  <c r="K182" s="1"/>
  <c r="P181"/>
  <c r="O181" s="1"/>
  <c r="K181"/>
  <c r="O180"/>
  <c r="K180"/>
  <c r="P179"/>
  <c r="O179" s="1"/>
  <c r="L179"/>
  <c r="K179" s="1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L157"/>
  <c r="K157" s="1"/>
  <c r="O156"/>
  <c r="K156"/>
  <c r="O155"/>
  <c r="K155"/>
  <c r="O154"/>
  <c r="K154"/>
  <c r="O153"/>
  <c r="K153"/>
  <c r="P152"/>
  <c r="O152" s="1"/>
  <c r="K152"/>
  <c r="O151"/>
  <c r="K151"/>
  <c r="O150"/>
  <c r="K150"/>
  <c r="P149"/>
  <c r="O149" s="1"/>
  <c r="L149"/>
  <c r="K149" s="1"/>
  <c r="O148"/>
  <c r="K148"/>
  <c r="O147"/>
  <c r="K147"/>
  <c r="P146"/>
  <c r="O146" s="1"/>
  <c r="L146"/>
  <c r="K146" s="1"/>
  <c r="O145"/>
  <c r="K145"/>
  <c r="O144"/>
  <c r="K144"/>
  <c r="P143"/>
  <c r="O143" s="1"/>
  <c r="K143"/>
  <c r="O142"/>
  <c r="K142"/>
  <c r="P141"/>
  <c r="O141" s="1"/>
  <c r="K141"/>
  <c r="P140"/>
  <c r="O140" s="1"/>
  <c r="L140"/>
  <c r="K140" s="1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L130"/>
  <c r="K130" s="1"/>
  <c r="O129"/>
  <c r="K129"/>
  <c r="P128"/>
  <c r="O128" s="1"/>
  <c r="L128"/>
  <c r="K128" s="1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P118"/>
  <c r="O118" s="1"/>
  <c r="L118"/>
  <c r="K118" s="1"/>
  <c r="O117"/>
  <c r="K117"/>
  <c r="O116"/>
  <c r="K116"/>
  <c r="O115"/>
  <c r="K115"/>
  <c r="P114"/>
  <c r="O114" s="1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L105"/>
  <c r="K105" s="1"/>
  <c r="O104"/>
  <c r="K104"/>
  <c r="O103"/>
  <c r="K103"/>
  <c r="O102"/>
  <c r="K102"/>
  <c r="P101"/>
  <c r="O101" s="1"/>
  <c r="L101"/>
  <c r="K101" s="1"/>
  <c r="O100"/>
  <c r="K100"/>
  <c r="O99"/>
  <c r="K99"/>
  <c r="O98"/>
  <c r="K98"/>
  <c r="O97"/>
  <c r="K97"/>
  <c r="P96"/>
  <c r="O96" s="1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P83"/>
  <c r="O83" s="1"/>
  <c r="L83"/>
  <c r="K83" s="1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L71"/>
  <c r="K71" s="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L32"/>
  <c r="K32" s="1"/>
  <c r="O31"/>
  <c r="K31"/>
  <c r="O30"/>
  <c r="K30"/>
  <c r="P29"/>
  <c r="O29" s="1"/>
  <c r="K29"/>
  <c r="O28"/>
  <c r="K28"/>
  <c r="P27"/>
  <c r="O27" s="1"/>
  <c r="K27"/>
  <c r="O26"/>
  <c r="L26"/>
  <c r="K26" s="1"/>
  <c r="O25"/>
  <c r="K25"/>
  <c r="O24"/>
  <c r="K24"/>
  <c r="P23"/>
  <c r="O23" s="1"/>
  <c r="K23"/>
  <c r="O22"/>
  <c r="K22"/>
  <c r="O21"/>
  <c r="K21"/>
  <c r="P20"/>
  <c r="O20" s="1"/>
  <c r="L20"/>
  <c r="K20" s="1"/>
  <c r="P19"/>
  <c r="O19" s="1"/>
  <c r="K19"/>
  <c r="O18"/>
  <c r="K18"/>
  <c r="O17"/>
  <c r="K17"/>
  <c r="P16"/>
  <c r="O16" s="1"/>
  <c r="L16"/>
  <c r="K16" s="1"/>
  <c r="O15"/>
  <c r="K15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203" l="1"/>
  <c r="K203"/>
  <c r="P203"/>
  <c r="L203"/>
  <c r="Q203" i="85"/>
  <c r="N203"/>
  <c r="M203"/>
  <c r="J203"/>
  <c r="I203"/>
  <c r="H203"/>
  <c r="O202"/>
  <c r="K202"/>
  <c r="K201"/>
  <c r="K200"/>
  <c r="O199"/>
  <c r="K199"/>
  <c r="O198"/>
  <c r="K198"/>
  <c r="P197"/>
  <c r="O197"/>
  <c r="K197"/>
  <c r="O196"/>
  <c r="K196"/>
  <c r="O195"/>
  <c r="L195"/>
  <c r="K195"/>
  <c r="O194"/>
  <c r="K194"/>
  <c r="O193"/>
  <c r="K193"/>
  <c r="O192"/>
  <c r="K192"/>
  <c r="O191"/>
  <c r="K191"/>
  <c r="L190"/>
  <c r="K190"/>
  <c r="O189"/>
  <c r="K189"/>
  <c r="P188"/>
  <c r="O188"/>
  <c r="K188"/>
  <c r="O187"/>
  <c r="K187"/>
  <c r="P186"/>
  <c r="O186" s="1"/>
  <c r="K186"/>
  <c r="O185"/>
  <c r="K185"/>
  <c r="P184"/>
  <c r="O184" s="1"/>
  <c r="K184"/>
  <c r="O183"/>
  <c r="K183"/>
  <c r="P182"/>
  <c r="O182" s="1"/>
  <c r="L182"/>
  <c r="K182" s="1"/>
  <c r="P181"/>
  <c r="O181" s="1"/>
  <c r="K181"/>
  <c r="O180"/>
  <c r="K180"/>
  <c r="P179"/>
  <c r="O179" s="1"/>
  <c r="L179"/>
  <c r="K179" s="1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L157"/>
  <c r="K157" s="1"/>
  <c r="O156"/>
  <c r="K156"/>
  <c r="O155"/>
  <c r="K155"/>
  <c r="O154"/>
  <c r="K154"/>
  <c r="O153"/>
  <c r="K153"/>
  <c r="P152"/>
  <c r="O152" s="1"/>
  <c r="K152"/>
  <c r="O151"/>
  <c r="K151"/>
  <c r="O150"/>
  <c r="K150"/>
  <c r="P149"/>
  <c r="O149" s="1"/>
  <c r="L149"/>
  <c r="K149" s="1"/>
  <c r="O148"/>
  <c r="K148"/>
  <c r="O147"/>
  <c r="K147"/>
  <c r="P146"/>
  <c r="O146" s="1"/>
  <c r="L146"/>
  <c r="K146" s="1"/>
  <c r="O145"/>
  <c r="K145"/>
  <c r="O144"/>
  <c r="K144"/>
  <c r="P143"/>
  <c r="O143" s="1"/>
  <c r="K143"/>
  <c r="O142"/>
  <c r="K142"/>
  <c r="P141"/>
  <c r="O141" s="1"/>
  <c r="K141"/>
  <c r="P140"/>
  <c r="O140" s="1"/>
  <c r="L140"/>
  <c r="K140" s="1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L130"/>
  <c r="K130" s="1"/>
  <c r="O129"/>
  <c r="K129"/>
  <c r="P128"/>
  <c r="O128" s="1"/>
  <c r="L128"/>
  <c r="K128" s="1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P118"/>
  <c r="O118" s="1"/>
  <c r="L118"/>
  <c r="K118" s="1"/>
  <c r="O117"/>
  <c r="K117"/>
  <c r="O116"/>
  <c r="K116"/>
  <c r="O115"/>
  <c r="K115"/>
  <c r="P114"/>
  <c r="O114" s="1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L105"/>
  <c r="K105" s="1"/>
  <c r="O104"/>
  <c r="K104"/>
  <c r="O103"/>
  <c r="K103"/>
  <c r="O102"/>
  <c r="K102"/>
  <c r="P101"/>
  <c r="O101" s="1"/>
  <c r="L101"/>
  <c r="K101" s="1"/>
  <c r="O100"/>
  <c r="K100"/>
  <c r="O99"/>
  <c r="K99"/>
  <c r="O98"/>
  <c r="K98"/>
  <c r="O97"/>
  <c r="K97"/>
  <c r="P96"/>
  <c r="O96" s="1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P83"/>
  <c r="O83" s="1"/>
  <c r="L83"/>
  <c r="K83" s="1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L71"/>
  <c r="K71" s="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L32"/>
  <c r="K32" s="1"/>
  <c r="O31"/>
  <c r="K31"/>
  <c r="O30"/>
  <c r="K30"/>
  <c r="P29"/>
  <c r="O29" s="1"/>
  <c r="K29"/>
  <c r="O28"/>
  <c r="K28"/>
  <c r="P27"/>
  <c r="O27" s="1"/>
  <c r="K27"/>
  <c r="O26"/>
  <c r="L26"/>
  <c r="K26" s="1"/>
  <c r="O25"/>
  <c r="K25"/>
  <c r="O24"/>
  <c r="K24"/>
  <c r="P23"/>
  <c r="O23" s="1"/>
  <c r="K23"/>
  <c r="O22"/>
  <c r="K22"/>
  <c r="O21"/>
  <c r="K21"/>
  <c r="P20"/>
  <c r="O20" s="1"/>
  <c r="L20"/>
  <c r="K20" s="1"/>
  <c r="P19"/>
  <c r="O19" s="1"/>
  <c r="K19"/>
  <c r="O18"/>
  <c r="K18"/>
  <c r="O17"/>
  <c r="K17"/>
  <c r="P16"/>
  <c r="O16" s="1"/>
  <c r="L16"/>
  <c r="O15"/>
  <c r="K15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3" l="1"/>
  <c r="P203"/>
  <c r="K16"/>
  <c r="O203"/>
  <c r="P23" i="84"/>
  <c r="P23" i="78"/>
  <c r="K203" i="85" l="1"/>
  <c r="P163" i="84"/>
  <c r="P163" i="78"/>
  <c r="P61" i="84"/>
  <c r="P149"/>
  <c r="P149" i="78"/>
  <c r="L207" i="75"/>
  <c r="M207"/>
  <c r="N207"/>
  <c r="Q203" i="84" l="1"/>
  <c r="N203"/>
  <c r="M203"/>
  <c r="J203"/>
  <c r="I203"/>
  <c r="H203"/>
  <c r="O202"/>
  <c r="K202"/>
  <c r="K201"/>
  <c r="K200"/>
  <c r="O199"/>
  <c r="K199"/>
  <c r="O198"/>
  <c r="K198"/>
  <c r="P197"/>
  <c r="O197" s="1"/>
  <c r="K197"/>
  <c r="O196"/>
  <c r="K196"/>
  <c r="O195"/>
  <c r="L195"/>
  <c r="K195" s="1"/>
  <c r="O194"/>
  <c r="K194"/>
  <c r="O193"/>
  <c r="K193"/>
  <c r="O192"/>
  <c r="K192"/>
  <c r="O191"/>
  <c r="K191"/>
  <c r="L190"/>
  <c r="K190" s="1"/>
  <c r="O189"/>
  <c r="K189"/>
  <c r="P188"/>
  <c r="O188" s="1"/>
  <c r="K188"/>
  <c r="O187"/>
  <c r="K187"/>
  <c r="P186"/>
  <c r="O186" s="1"/>
  <c r="K186"/>
  <c r="O185"/>
  <c r="K185"/>
  <c r="P184"/>
  <c r="O184" s="1"/>
  <c r="K184"/>
  <c r="O183"/>
  <c r="K183"/>
  <c r="P182"/>
  <c r="O182" s="1"/>
  <c r="L182"/>
  <c r="K182" s="1"/>
  <c r="P181"/>
  <c r="O181" s="1"/>
  <c r="K181"/>
  <c r="O180"/>
  <c r="K180"/>
  <c r="P179"/>
  <c r="O179" s="1"/>
  <c r="L179"/>
  <c r="K179" s="1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O163"/>
  <c r="K163"/>
  <c r="O162"/>
  <c r="K162"/>
  <c r="O161"/>
  <c r="K161"/>
  <c r="O160"/>
  <c r="K160"/>
  <c r="O159"/>
  <c r="K159"/>
  <c r="O158"/>
  <c r="K158"/>
  <c r="P157"/>
  <c r="O157" s="1"/>
  <c r="L157"/>
  <c r="K157" s="1"/>
  <c r="O156"/>
  <c r="K156"/>
  <c r="O155"/>
  <c r="K155"/>
  <c r="O154"/>
  <c r="K154"/>
  <c r="O153"/>
  <c r="K153"/>
  <c r="P152"/>
  <c r="O152" s="1"/>
  <c r="K152"/>
  <c r="O151"/>
  <c r="K151"/>
  <c r="O150"/>
  <c r="K150"/>
  <c r="O149"/>
  <c r="L149"/>
  <c r="K149" s="1"/>
  <c r="O148"/>
  <c r="K148"/>
  <c r="O147"/>
  <c r="K147"/>
  <c r="P146"/>
  <c r="O146" s="1"/>
  <c r="L146"/>
  <c r="K146" s="1"/>
  <c r="O145"/>
  <c r="K145"/>
  <c r="O144"/>
  <c r="K144"/>
  <c r="P143"/>
  <c r="O143" s="1"/>
  <c r="K143"/>
  <c r="O142"/>
  <c r="K142"/>
  <c r="P141"/>
  <c r="O141" s="1"/>
  <c r="K141"/>
  <c r="P140"/>
  <c r="O140" s="1"/>
  <c r="L140"/>
  <c r="K140" s="1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L130"/>
  <c r="K130" s="1"/>
  <c r="O129"/>
  <c r="K129"/>
  <c r="P128"/>
  <c r="O128" s="1"/>
  <c r="L128"/>
  <c r="K128" s="1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P118"/>
  <c r="O118" s="1"/>
  <c r="L118"/>
  <c r="K118" s="1"/>
  <c r="O117"/>
  <c r="K117"/>
  <c r="O116"/>
  <c r="K116"/>
  <c r="O115"/>
  <c r="K115"/>
  <c r="P114"/>
  <c r="O114" s="1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L105"/>
  <c r="K105" s="1"/>
  <c r="O104"/>
  <c r="K104"/>
  <c r="O103"/>
  <c r="K103"/>
  <c r="O102"/>
  <c r="K102"/>
  <c r="P101"/>
  <c r="O101" s="1"/>
  <c r="L101"/>
  <c r="K101" s="1"/>
  <c r="O100"/>
  <c r="K100"/>
  <c r="O99"/>
  <c r="K99"/>
  <c r="O98"/>
  <c r="K98"/>
  <c r="O97"/>
  <c r="K97"/>
  <c r="P96"/>
  <c r="O96" s="1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P83"/>
  <c r="O83" s="1"/>
  <c r="L83"/>
  <c r="K83" s="1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L71"/>
  <c r="K71" s="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O61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L32"/>
  <c r="K32" s="1"/>
  <c r="O31"/>
  <c r="K31"/>
  <c r="O30"/>
  <c r="K30"/>
  <c r="P29"/>
  <c r="O29" s="1"/>
  <c r="K29"/>
  <c r="O28"/>
  <c r="K28"/>
  <c r="P27"/>
  <c r="O27" s="1"/>
  <c r="K27"/>
  <c r="O26"/>
  <c r="L26"/>
  <c r="K26" s="1"/>
  <c r="O25"/>
  <c r="K25"/>
  <c r="O24"/>
  <c r="K24"/>
  <c r="O23"/>
  <c r="K23"/>
  <c r="O22"/>
  <c r="K22"/>
  <c r="O21"/>
  <c r="K21"/>
  <c r="P20"/>
  <c r="O20" s="1"/>
  <c r="L20"/>
  <c r="K20" s="1"/>
  <c r="P19"/>
  <c r="O19" s="1"/>
  <c r="K19"/>
  <c r="O18"/>
  <c r="K18"/>
  <c r="O17"/>
  <c r="K17"/>
  <c r="P16"/>
  <c r="O16" s="1"/>
  <c r="L16"/>
  <c r="O15"/>
  <c r="K15"/>
  <c r="P14"/>
  <c r="O14" s="1"/>
  <c r="K14"/>
  <c r="O13"/>
  <c r="K13"/>
  <c r="P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L203" l="1"/>
  <c r="P203"/>
  <c r="K16"/>
  <c r="K203" s="1"/>
  <c r="O12"/>
  <c r="O203" s="1"/>
  <c r="L128" i="83"/>
  <c r="L26"/>
  <c r="L182"/>
  <c r="L140"/>
  <c r="L146"/>
  <c r="L114"/>
  <c r="L118"/>
  <c r="L126"/>
  <c r="L105"/>
  <c r="L157"/>
  <c r="L149"/>
  <c r="L130"/>
  <c r="L16"/>
  <c r="L83"/>
  <c r="L86"/>
  <c r="L73"/>
  <c r="L101"/>
  <c r="L190"/>
  <c r="K190" s="1"/>
  <c r="L32"/>
  <c r="L71"/>
  <c r="L179"/>
  <c r="P65"/>
  <c r="P173"/>
  <c r="P182"/>
  <c r="P96"/>
  <c r="P163"/>
  <c r="P134"/>
  <c r="P66"/>
  <c r="P29"/>
  <c r="P77"/>
  <c r="P181"/>
  <c r="P140"/>
  <c r="P146"/>
  <c r="P197"/>
  <c r="P114"/>
  <c r="P118"/>
  <c r="P105"/>
  <c r="P157"/>
  <c r="P130"/>
  <c r="P16"/>
  <c r="P86"/>
  <c r="P101"/>
  <c r="P71"/>
  <c r="P149"/>
  <c r="P186"/>
  <c r="P50"/>
  <c r="P20"/>
  <c r="O103" l="1"/>
  <c r="K103"/>
  <c r="Q203" l="1"/>
  <c r="N203"/>
  <c r="M203"/>
  <c r="J203"/>
  <c r="I203"/>
  <c r="H203"/>
  <c r="O202"/>
  <c r="K202"/>
  <c r="K201"/>
  <c r="K200"/>
  <c r="O199"/>
  <c r="K199"/>
  <c r="O198"/>
  <c r="K198"/>
  <c r="O197"/>
  <c r="K197"/>
  <c r="O196"/>
  <c r="K196"/>
  <c r="O195"/>
  <c r="L195"/>
  <c r="K195" s="1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/>
  <c r="K184"/>
  <c r="O183"/>
  <c r="K183"/>
  <c r="O182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P152"/>
  <c r="O152" s="1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P141"/>
  <c r="O141" s="1"/>
  <c r="K141"/>
  <c r="O140"/>
  <c r="K140"/>
  <c r="O139"/>
  <c r="K139"/>
  <c r="P138"/>
  <c r="O138" s="1"/>
  <c r="K138"/>
  <c r="O137"/>
  <c r="K137"/>
  <c r="P136"/>
  <c r="O136" s="1"/>
  <c r="K136"/>
  <c r="O135"/>
  <c r="K135"/>
  <c r="O134"/>
  <c r="K134"/>
  <c r="O133"/>
  <c r="K133"/>
  <c r="P132"/>
  <c r="O132" s="1"/>
  <c r="K132"/>
  <c r="O131"/>
  <c r="K131"/>
  <c r="O130"/>
  <c r="K130"/>
  <c r="O129"/>
  <c r="K129"/>
  <c r="P128"/>
  <c r="O128" s="1"/>
  <c r="K128"/>
  <c r="O127"/>
  <c r="K127"/>
  <c r="O126"/>
  <c r="K126"/>
  <c r="O125"/>
  <c r="K125"/>
  <c r="P124"/>
  <c r="O124" s="1"/>
  <c r="K124"/>
  <c r="O122"/>
  <c r="K122"/>
  <c r="O121"/>
  <c r="K121"/>
  <c r="O119"/>
  <c r="K119"/>
  <c r="O118"/>
  <c r="K118"/>
  <c r="O117"/>
  <c r="K117"/>
  <c r="O116"/>
  <c r="K116"/>
  <c r="O115"/>
  <c r="K115"/>
  <c r="O114"/>
  <c r="K114"/>
  <c r="O113"/>
  <c r="K113"/>
  <c r="O112"/>
  <c r="K112"/>
  <c r="O110"/>
  <c r="K110"/>
  <c r="O109"/>
  <c r="K109"/>
  <c r="O108"/>
  <c r="K108"/>
  <c r="O107"/>
  <c r="K107"/>
  <c r="O106"/>
  <c r="K106"/>
  <c r="O105"/>
  <c r="K105"/>
  <c r="O104"/>
  <c r="K104"/>
  <c r="O102"/>
  <c r="K102"/>
  <c r="O10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O86"/>
  <c r="K86"/>
  <c r="O85"/>
  <c r="K85"/>
  <c r="P84"/>
  <c r="O84" s="1"/>
  <c r="K84"/>
  <c r="P83"/>
  <c r="O83" s="1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O71"/>
  <c r="K71"/>
  <c r="O70"/>
  <c r="K70"/>
  <c r="O69"/>
  <c r="K69"/>
  <c r="P68"/>
  <c r="O68" s="1"/>
  <c r="K68"/>
  <c r="O67"/>
  <c r="K67"/>
  <c r="O66"/>
  <c r="K66"/>
  <c r="O65"/>
  <c r="K65"/>
  <c r="O64"/>
  <c r="K64"/>
  <c r="P63"/>
  <c r="O63" s="1"/>
  <c r="K63"/>
  <c r="O62"/>
  <c r="K62"/>
  <c r="P61"/>
  <c r="O61" s="1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O50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O29"/>
  <c r="K29"/>
  <c r="O28"/>
  <c r="K28"/>
  <c r="P27"/>
  <c r="O27" s="1"/>
  <c r="K27"/>
  <c r="O26"/>
  <c r="K26"/>
  <c r="O25"/>
  <c r="K25"/>
  <c r="O24"/>
  <c r="K24"/>
  <c r="P23"/>
  <c r="O23" s="1"/>
  <c r="K23"/>
  <c r="O22"/>
  <c r="K22"/>
  <c r="O21"/>
  <c r="K21"/>
  <c r="O20"/>
  <c r="L20"/>
  <c r="K20" s="1"/>
  <c r="P19"/>
  <c r="O19" s="1"/>
  <c r="K19"/>
  <c r="O18"/>
  <c r="K18"/>
  <c r="O17"/>
  <c r="K17"/>
  <c r="O16"/>
  <c r="O15"/>
  <c r="K15"/>
  <c r="P14"/>
  <c r="O14" s="1"/>
  <c r="K14"/>
  <c r="O13"/>
  <c r="K13"/>
  <c r="P12"/>
  <c r="K12"/>
  <c r="O11"/>
  <c r="K11"/>
  <c r="O10"/>
  <c r="K10"/>
  <c r="I9"/>
  <c r="J9" s="1"/>
  <c r="K9" s="1"/>
  <c r="L9" s="1"/>
  <c r="M9" s="1"/>
  <c r="B9"/>
  <c r="C9" s="1"/>
  <c r="D9" s="1"/>
  <c r="E9" s="1"/>
  <c r="F9" s="1"/>
  <c r="G9" s="1"/>
  <c r="P203" l="1"/>
  <c r="N9"/>
  <c r="O9" s="1"/>
  <c r="P9" s="1"/>
  <c r="Q9" s="1"/>
  <c r="O12"/>
  <c r="L203"/>
  <c r="O203"/>
  <c r="K16"/>
  <c r="K203" s="1"/>
  <c r="Q203" i="82"/>
  <c r="N203"/>
  <c r="M203"/>
  <c r="J203"/>
  <c r="I203"/>
  <c r="H203"/>
  <c r="O202"/>
  <c r="K202"/>
  <c r="K201"/>
  <c r="K200"/>
  <c r="O199"/>
  <c r="K199"/>
  <c r="O198"/>
  <c r="K198"/>
  <c r="P197"/>
  <c r="O197" s="1"/>
  <c r="K197"/>
  <c r="O196"/>
  <c r="K196"/>
  <c r="O195"/>
  <c r="L195"/>
  <c r="K195" s="1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P182"/>
  <c r="O182" s="1"/>
  <c r="K182"/>
  <c r="P181"/>
  <c r="O181" s="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L157"/>
  <c r="K157" s="1"/>
  <c r="O156"/>
  <c r="K156"/>
  <c r="O155"/>
  <c r="K155"/>
  <c r="O154"/>
  <c r="K154"/>
  <c r="O153"/>
  <c r="K153"/>
  <c r="P152"/>
  <c r="O152" s="1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P141"/>
  <c r="O141" s="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L130"/>
  <c r="K130" s="1"/>
  <c r="O129"/>
  <c r="K129"/>
  <c r="P128"/>
  <c r="O128" s="1"/>
  <c r="K128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P118"/>
  <c r="O118" s="1"/>
  <c r="K118"/>
  <c r="O117"/>
  <c r="K117"/>
  <c r="O116"/>
  <c r="K116"/>
  <c r="O115"/>
  <c r="K115"/>
  <c r="P114"/>
  <c r="O114" s="1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P83"/>
  <c r="O83" s="1"/>
  <c r="K83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P27"/>
  <c r="O27" s="1"/>
  <c r="K27"/>
  <c r="O26"/>
  <c r="K26"/>
  <c r="O25"/>
  <c r="K25"/>
  <c r="O24"/>
  <c r="K24"/>
  <c r="P23"/>
  <c r="O23" s="1"/>
  <c r="K23"/>
  <c r="O22"/>
  <c r="K22"/>
  <c r="O21"/>
  <c r="K21"/>
  <c r="P20"/>
  <c r="O20" s="1"/>
  <c r="L20"/>
  <c r="K20" s="1"/>
  <c r="P19"/>
  <c r="O19" s="1"/>
  <c r="K19"/>
  <c r="O18"/>
  <c r="K18"/>
  <c r="O17"/>
  <c r="K17"/>
  <c r="P16"/>
  <c r="O16" s="1"/>
  <c r="L16"/>
  <c r="K16" s="1"/>
  <c r="O15"/>
  <c r="K15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203" l="1"/>
  <c r="L203"/>
  <c r="K203"/>
  <c r="P203"/>
  <c r="P83" i="81"/>
  <c r="P63"/>
  <c r="O63" s="1"/>
  <c r="P114"/>
  <c r="P118"/>
  <c r="O118" s="1"/>
  <c r="P182"/>
  <c r="P132"/>
  <c r="O132" s="1"/>
  <c r="P66"/>
  <c r="O66" s="1"/>
  <c r="P32"/>
  <c r="P101"/>
  <c r="O101" s="1"/>
  <c r="P50"/>
  <c r="O50" s="1"/>
  <c r="P16"/>
  <c r="P61"/>
  <c r="O61" s="1"/>
  <c r="P141"/>
  <c r="L16"/>
  <c r="K16" s="1"/>
  <c r="Q203"/>
  <c r="N203"/>
  <c r="M203"/>
  <c r="J203"/>
  <c r="I203"/>
  <c r="H203"/>
  <c r="O202"/>
  <c r="K202"/>
  <c r="K201"/>
  <c r="K200"/>
  <c r="O199"/>
  <c r="K199"/>
  <c r="O198"/>
  <c r="K198"/>
  <c r="P197"/>
  <c r="O197"/>
  <c r="K197"/>
  <c r="O196"/>
  <c r="K196"/>
  <c r="O195"/>
  <c r="L195"/>
  <c r="K195"/>
  <c r="O194"/>
  <c r="K194"/>
  <c r="O193"/>
  <c r="K193"/>
  <c r="O192"/>
  <c r="K192"/>
  <c r="O191"/>
  <c r="K191"/>
  <c r="O189"/>
  <c r="K189"/>
  <c r="P188"/>
  <c r="O188"/>
  <c r="K188"/>
  <c r="O187"/>
  <c r="K187"/>
  <c r="O186"/>
  <c r="K186"/>
  <c r="O185"/>
  <c r="K185"/>
  <c r="P184"/>
  <c r="O184" s="1"/>
  <c r="K184"/>
  <c r="O183"/>
  <c r="K183"/>
  <c r="O182"/>
  <c r="K182"/>
  <c r="P181"/>
  <c r="O181" s="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L157"/>
  <c r="K157" s="1"/>
  <c r="O156"/>
  <c r="K156"/>
  <c r="O155"/>
  <c r="K155"/>
  <c r="O154"/>
  <c r="K154"/>
  <c r="O153"/>
  <c r="K153"/>
  <c r="P152"/>
  <c r="O152" s="1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O14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K132"/>
  <c r="O131"/>
  <c r="K131"/>
  <c r="P130"/>
  <c r="O130" s="1"/>
  <c r="L130"/>
  <c r="K130" s="1"/>
  <c r="O129"/>
  <c r="K129"/>
  <c r="P128"/>
  <c r="O128" s="1"/>
  <c r="K128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K118"/>
  <c r="O117"/>
  <c r="K117"/>
  <c r="O116"/>
  <c r="K116"/>
  <c r="O115"/>
  <c r="K115"/>
  <c r="O114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O83"/>
  <c r="K83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K71"/>
  <c r="O70"/>
  <c r="K70"/>
  <c r="O69"/>
  <c r="K69"/>
  <c r="P68"/>
  <c r="O68" s="1"/>
  <c r="K68"/>
  <c r="O67"/>
  <c r="K67"/>
  <c r="K66"/>
  <c r="P65"/>
  <c r="O65" s="1"/>
  <c r="K65"/>
  <c r="O64"/>
  <c r="K64"/>
  <c r="K63"/>
  <c r="O62"/>
  <c r="K62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/>
  <c r="K36"/>
  <c r="O35"/>
  <c r="K35"/>
  <c r="P34"/>
  <c r="O34" s="1"/>
  <c r="K34"/>
  <c r="O33"/>
  <c r="K33"/>
  <c r="O32"/>
  <c r="K32"/>
  <c r="O31"/>
  <c r="K31"/>
  <c r="O30"/>
  <c r="K30"/>
  <c r="P29"/>
  <c r="O29" s="1"/>
  <c r="K29"/>
  <c r="O28"/>
  <c r="K28"/>
  <c r="P27"/>
  <c r="O27" s="1"/>
  <c r="K27"/>
  <c r="O26"/>
  <c r="K26"/>
  <c r="O25"/>
  <c r="K25"/>
  <c r="O24"/>
  <c r="K24"/>
  <c r="P23"/>
  <c r="O23" s="1"/>
  <c r="K23"/>
  <c r="O22"/>
  <c r="K22"/>
  <c r="O21"/>
  <c r="K21"/>
  <c r="P20"/>
  <c r="O20" s="1"/>
  <c r="L20"/>
  <c r="K20" s="1"/>
  <c r="P19"/>
  <c r="O19" s="1"/>
  <c r="K19"/>
  <c r="O18"/>
  <c r="K18"/>
  <c r="O17"/>
  <c r="K17"/>
  <c r="O16"/>
  <c r="O15"/>
  <c r="K15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3" l="1"/>
  <c r="O203"/>
  <c r="K203"/>
  <c r="L203"/>
  <c r="Q203" i="80"/>
  <c r="N203"/>
  <c r="M203"/>
  <c r="J203"/>
  <c r="I203"/>
  <c r="H203"/>
  <c r="O202"/>
  <c r="K202"/>
  <c r="K201"/>
  <c r="K200"/>
  <c r="O199"/>
  <c r="K199"/>
  <c r="O198"/>
  <c r="K198"/>
  <c r="P197"/>
  <c r="O197" s="1"/>
  <c r="K197"/>
  <c r="O196"/>
  <c r="K196"/>
  <c r="O195"/>
  <c r="L195"/>
  <c r="K195" s="1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P182"/>
  <c r="O182" s="1"/>
  <c r="K182"/>
  <c r="P181"/>
  <c r="O181" s="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L157"/>
  <c r="K157" s="1"/>
  <c r="O156"/>
  <c r="K156"/>
  <c r="O155"/>
  <c r="K155"/>
  <c r="O154"/>
  <c r="K154"/>
  <c r="O153"/>
  <c r="K153"/>
  <c r="P152"/>
  <c r="O152" s="1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P141"/>
  <c r="O141" s="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L130"/>
  <c r="K130" s="1"/>
  <c r="O129"/>
  <c r="K129"/>
  <c r="P128"/>
  <c r="O128" s="1"/>
  <c r="K128"/>
  <c r="O127"/>
  <c r="K127"/>
  <c r="O126"/>
  <c r="L126"/>
  <c r="K126" s="1"/>
  <c r="O125"/>
  <c r="K125"/>
  <c r="P124"/>
  <c r="O124" s="1"/>
  <c r="K124"/>
  <c r="O122"/>
  <c r="K122"/>
  <c r="O121"/>
  <c r="K121"/>
  <c r="O119"/>
  <c r="K119"/>
  <c r="P118"/>
  <c r="O118" s="1"/>
  <c r="K118"/>
  <c r="O117"/>
  <c r="K117"/>
  <c r="O116"/>
  <c r="K116"/>
  <c r="O115"/>
  <c r="K115"/>
  <c r="P114"/>
  <c r="O114" s="1"/>
  <c r="L114"/>
  <c r="K114" s="1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L86"/>
  <c r="K86" s="1"/>
  <c r="O85"/>
  <c r="K85"/>
  <c r="P84"/>
  <c r="O84" s="1"/>
  <c r="K84"/>
  <c r="O83"/>
  <c r="K83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L73"/>
  <c r="K73" s="1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L61"/>
  <c r="K61" s="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P44"/>
  <c r="O44" s="1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P27"/>
  <c r="O27" s="1"/>
  <c r="K27"/>
  <c r="O26"/>
  <c r="K26"/>
  <c r="O25"/>
  <c r="K25"/>
  <c r="O24"/>
  <c r="K24"/>
  <c r="P23"/>
  <c r="O23" s="1"/>
  <c r="K23"/>
  <c r="O22"/>
  <c r="K22"/>
  <c r="O21"/>
  <c r="K21"/>
  <c r="P20"/>
  <c r="O20" s="1"/>
  <c r="L20"/>
  <c r="K20" s="1"/>
  <c r="P19"/>
  <c r="O19" s="1"/>
  <c r="K19"/>
  <c r="O18"/>
  <c r="K18"/>
  <c r="O17"/>
  <c r="K17"/>
  <c r="P16"/>
  <c r="O16" s="1"/>
  <c r="L16"/>
  <c r="K16" s="1"/>
  <c r="O15"/>
  <c r="K15"/>
  <c r="P14"/>
  <c r="O14" s="1"/>
  <c r="K14"/>
  <c r="O13"/>
  <c r="K13"/>
  <c r="P12"/>
  <c r="O12" s="1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203" l="1"/>
  <c r="K203"/>
  <c r="L203"/>
  <c r="P203"/>
  <c r="P105" i="79"/>
  <c r="P143"/>
  <c r="O143" s="1"/>
  <c r="P20"/>
  <c r="P16"/>
  <c r="O16" s="1"/>
  <c r="P86"/>
  <c r="P118"/>
  <c r="O118" s="1"/>
  <c r="P181"/>
  <c r="P197"/>
  <c r="O197" s="1"/>
  <c r="P38"/>
  <c r="P182"/>
  <c r="O182" s="1"/>
  <c r="P128"/>
  <c r="P60"/>
  <c r="O60" s="1"/>
  <c r="P124"/>
  <c r="P152"/>
  <c r="O152" s="1"/>
  <c r="P73"/>
  <c r="P130"/>
  <c r="O130" s="1"/>
  <c r="P157"/>
  <c r="P114"/>
  <c r="O114" s="1"/>
  <c r="P138"/>
  <c r="P141"/>
  <c r="O141" s="1"/>
  <c r="P84"/>
  <c r="P44"/>
  <c r="O44" s="1"/>
  <c r="P14"/>
  <c r="P36"/>
  <c r="O36" s="1"/>
  <c r="P27"/>
  <c r="P61"/>
  <c r="O61" s="1"/>
  <c r="L61"/>
  <c r="L126"/>
  <c r="K126" s="1"/>
  <c r="L20"/>
  <c r="L73"/>
  <c r="K73" s="1"/>
  <c r="L16"/>
  <c r="L86"/>
  <c r="K86" s="1"/>
  <c r="L130"/>
  <c r="L157"/>
  <c r="K157" s="1"/>
  <c r="L114"/>
  <c r="L195"/>
  <c r="Q203"/>
  <c r="N203"/>
  <c r="M203"/>
  <c r="L203"/>
  <c r="J203"/>
  <c r="I203"/>
  <c r="H203"/>
  <c r="O202"/>
  <c r="K202"/>
  <c r="K201"/>
  <c r="K200"/>
  <c r="O199"/>
  <c r="K199"/>
  <c r="O198"/>
  <c r="K198"/>
  <c r="K197"/>
  <c r="O196"/>
  <c r="K196"/>
  <c r="O195"/>
  <c r="K195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O157"/>
  <c r="O156"/>
  <c r="K156"/>
  <c r="O155"/>
  <c r="K155"/>
  <c r="O154"/>
  <c r="K154"/>
  <c r="O153"/>
  <c r="K153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K143"/>
  <c r="O142"/>
  <c r="K142"/>
  <c r="K141"/>
  <c r="P140"/>
  <c r="O140" s="1"/>
  <c r="K140"/>
  <c r="O139"/>
  <c r="K139"/>
  <c r="O138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K130"/>
  <c r="O129"/>
  <c r="K129"/>
  <c r="O128"/>
  <c r="K128"/>
  <c r="O127"/>
  <c r="K127"/>
  <c r="O126"/>
  <c r="O125"/>
  <c r="K125"/>
  <c r="O124"/>
  <c r="K124"/>
  <c r="O122"/>
  <c r="K122"/>
  <c r="O121"/>
  <c r="K121"/>
  <c r="O119"/>
  <c r="K119"/>
  <c r="K118"/>
  <c r="O117"/>
  <c r="K117"/>
  <c r="O116"/>
  <c r="K116"/>
  <c r="O115"/>
  <c r="K115"/>
  <c r="K114"/>
  <c r="O113"/>
  <c r="K113"/>
  <c r="O112"/>
  <c r="K112"/>
  <c r="O110"/>
  <c r="K110"/>
  <c r="O109"/>
  <c r="K109"/>
  <c r="O108"/>
  <c r="K108"/>
  <c r="O107"/>
  <c r="K107"/>
  <c r="O106"/>
  <c r="K106"/>
  <c r="O105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O86"/>
  <c r="O85"/>
  <c r="K85"/>
  <c r="O84"/>
  <c r="K84"/>
  <c r="O83"/>
  <c r="K83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O73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K6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K44"/>
  <c r="O43"/>
  <c r="K43"/>
  <c r="P42"/>
  <c r="O42" s="1"/>
  <c r="K42"/>
  <c r="O41"/>
  <c r="K41"/>
  <c r="P40"/>
  <c r="O40" s="1"/>
  <c r="K40"/>
  <c r="O39"/>
  <c r="K39"/>
  <c r="O38"/>
  <c r="K38"/>
  <c r="O37"/>
  <c r="K37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P23"/>
  <c r="O23" s="1"/>
  <c r="K23"/>
  <c r="O22"/>
  <c r="K22"/>
  <c r="O21"/>
  <c r="K21"/>
  <c r="O20"/>
  <c r="K20"/>
  <c r="P19"/>
  <c r="O19" s="1"/>
  <c r="K19"/>
  <c r="O18"/>
  <c r="K18"/>
  <c r="O17"/>
  <c r="K17"/>
  <c r="K16"/>
  <c r="O15"/>
  <c r="K15"/>
  <c r="O14"/>
  <c r="K14"/>
  <c r="O13"/>
  <c r="K13"/>
  <c r="P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3" l="1"/>
  <c r="O12"/>
  <c r="K203"/>
  <c r="O203"/>
  <c r="Q204" i="78"/>
  <c r="N204"/>
  <c r="M204"/>
  <c r="L204"/>
  <c r="J204"/>
  <c r="I204"/>
  <c r="H204"/>
  <c r="O203"/>
  <c r="K203"/>
  <c r="K202"/>
  <c r="K201"/>
  <c r="K200"/>
  <c r="O199"/>
  <c r="K199"/>
  <c r="O198"/>
  <c r="K198"/>
  <c r="P197"/>
  <c r="O197" s="1"/>
  <c r="K197"/>
  <c r="O196"/>
  <c r="K196"/>
  <c r="O195"/>
  <c r="K195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P182"/>
  <c r="O182" s="1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O163"/>
  <c r="K163"/>
  <c r="O162"/>
  <c r="K162"/>
  <c r="O161"/>
  <c r="K161"/>
  <c r="O160"/>
  <c r="K160"/>
  <c r="O159"/>
  <c r="K159"/>
  <c r="O158"/>
  <c r="K158"/>
  <c r="P157"/>
  <c r="O157" s="1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O14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K130"/>
  <c r="O129"/>
  <c r="K129"/>
  <c r="P128"/>
  <c r="O128" s="1"/>
  <c r="K128"/>
  <c r="O127"/>
  <c r="K127"/>
  <c r="O126"/>
  <c r="K126"/>
  <c r="O125"/>
  <c r="K125"/>
  <c r="P124"/>
  <c r="O124" s="1"/>
  <c r="K124"/>
  <c r="O122"/>
  <c r="K122"/>
  <c r="O121"/>
  <c r="K121"/>
  <c r="O119"/>
  <c r="K119"/>
  <c r="O118"/>
  <c r="K118"/>
  <c r="O117"/>
  <c r="K117"/>
  <c r="O116"/>
  <c r="K116"/>
  <c r="O115"/>
  <c r="K115"/>
  <c r="P114"/>
  <c r="O114" s="1"/>
  <c r="K114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K86"/>
  <c r="O85"/>
  <c r="K85"/>
  <c r="O84"/>
  <c r="K84"/>
  <c r="O83"/>
  <c r="K83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O61"/>
  <c r="K6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O44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O23"/>
  <c r="K23"/>
  <c r="O22"/>
  <c r="K22"/>
  <c r="O21"/>
  <c r="K21"/>
  <c r="P20"/>
  <c r="O20" s="1"/>
  <c r="K20"/>
  <c r="P19"/>
  <c r="O19" s="1"/>
  <c r="K19"/>
  <c r="O18"/>
  <c r="K18"/>
  <c r="O17"/>
  <c r="K17"/>
  <c r="P16"/>
  <c r="O16" s="1"/>
  <c r="K16"/>
  <c r="O15"/>
  <c r="K15"/>
  <c r="P14"/>
  <c r="O14" s="1"/>
  <c r="K14"/>
  <c r="O13"/>
  <c r="K13"/>
  <c r="P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4" l="1"/>
  <c r="P204"/>
  <c r="O12"/>
  <c r="O204" s="1"/>
  <c r="Q204" i="77"/>
  <c r="N204"/>
  <c r="M204"/>
  <c r="L204"/>
  <c r="J204"/>
  <c r="I204"/>
  <c r="H204"/>
  <c r="O203"/>
  <c r="K203"/>
  <c r="K202"/>
  <c r="K201"/>
  <c r="K200"/>
  <c r="O199"/>
  <c r="K199"/>
  <c r="O198"/>
  <c r="K198"/>
  <c r="P197"/>
  <c r="O197" s="1"/>
  <c r="K197"/>
  <c r="O196"/>
  <c r="K196"/>
  <c r="O195"/>
  <c r="K195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P182"/>
  <c r="O182" s="1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71"/>
  <c r="K171"/>
  <c r="O170"/>
  <c r="K170"/>
  <c r="O169"/>
  <c r="K169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O14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K130"/>
  <c r="O129"/>
  <c r="K129"/>
  <c r="P128"/>
  <c r="O128" s="1"/>
  <c r="K128"/>
  <c r="O127"/>
  <c r="K127"/>
  <c r="O126"/>
  <c r="K126"/>
  <c r="O125"/>
  <c r="K125"/>
  <c r="P124"/>
  <c r="O124" s="1"/>
  <c r="K124"/>
  <c r="O122"/>
  <c r="K122"/>
  <c r="O121"/>
  <c r="K121"/>
  <c r="O119"/>
  <c r="K119"/>
  <c r="O118"/>
  <c r="K118"/>
  <c r="O117"/>
  <c r="K117"/>
  <c r="O116"/>
  <c r="K116"/>
  <c r="O115"/>
  <c r="K115"/>
  <c r="P114"/>
  <c r="O114" s="1"/>
  <c r="K114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K86"/>
  <c r="O85"/>
  <c r="K85"/>
  <c r="O84"/>
  <c r="K84"/>
  <c r="O83"/>
  <c r="K83"/>
  <c r="O82"/>
  <c r="K82"/>
  <c r="O81"/>
  <c r="K81"/>
  <c r="O80"/>
  <c r="K80"/>
  <c r="O79"/>
  <c r="K79"/>
  <c r="O78"/>
  <c r="K78"/>
  <c r="P77"/>
  <c r="O77" s="1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K6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O44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P23"/>
  <c r="O23" s="1"/>
  <c r="K23"/>
  <c r="O22"/>
  <c r="K22"/>
  <c r="O21"/>
  <c r="K21"/>
  <c r="P20"/>
  <c r="O20" s="1"/>
  <c r="K20"/>
  <c r="P19"/>
  <c r="O19" s="1"/>
  <c r="K19"/>
  <c r="O18"/>
  <c r="K18"/>
  <c r="O17"/>
  <c r="K17"/>
  <c r="P16"/>
  <c r="O16" s="1"/>
  <c r="K16"/>
  <c r="O15"/>
  <c r="K15"/>
  <c r="P14"/>
  <c r="O14" s="1"/>
  <c r="K14"/>
  <c r="O13"/>
  <c r="K13"/>
  <c r="P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4" l="1"/>
  <c r="P204"/>
  <c r="O12"/>
  <c r="O204" s="1"/>
  <c r="O82" i="76"/>
  <c r="O81"/>
  <c r="K82"/>
  <c r="K81"/>
  <c r="O169"/>
  <c r="O170"/>
  <c r="O171"/>
  <c r="K169"/>
  <c r="K170"/>
  <c r="K171"/>
  <c r="Q204"/>
  <c r="N204"/>
  <c r="M204"/>
  <c r="L204"/>
  <c r="J204"/>
  <c r="I204"/>
  <c r="H204"/>
  <c r="O203"/>
  <c r="K203"/>
  <c r="K202"/>
  <c r="K201"/>
  <c r="K200"/>
  <c r="O199"/>
  <c r="K199"/>
  <c r="O198"/>
  <c r="K198"/>
  <c r="P197"/>
  <c r="O197" s="1"/>
  <c r="K197"/>
  <c r="O196"/>
  <c r="K196"/>
  <c r="O195"/>
  <c r="K195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P182"/>
  <c r="O182" s="1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O14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K130"/>
  <c r="O129"/>
  <c r="K129"/>
  <c r="P128"/>
  <c r="O128" s="1"/>
  <c r="K128"/>
  <c r="O127"/>
  <c r="K127"/>
  <c r="O126"/>
  <c r="K126"/>
  <c r="O125"/>
  <c r="K125"/>
  <c r="P124"/>
  <c r="O124" s="1"/>
  <c r="K124"/>
  <c r="O122"/>
  <c r="K122"/>
  <c r="O121"/>
  <c r="K121"/>
  <c r="O119"/>
  <c r="K119"/>
  <c r="O118"/>
  <c r="K118"/>
  <c r="O117"/>
  <c r="K117"/>
  <c r="O116"/>
  <c r="K116"/>
  <c r="O115"/>
  <c r="K115"/>
  <c r="P114"/>
  <c r="O114" s="1"/>
  <c r="K114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K86"/>
  <c r="O85"/>
  <c r="K85"/>
  <c r="O84"/>
  <c r="K84"/>
  <c r="O83"/>
  <c r="K83"/>
  <c r="O80"/>
  <c r="K80"/>
  <c r="O79"/>
  <c r="K79"/>
  <c r="O78"/>
  <c r="K78"/>
  <c r="P77"/>
  <c r="O77" s="1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K6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O44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P23"/>
  <c r="O23" s="1"/>
  <c r="K23"/>
  <c r="O22"/>
  <c r="K22"/>
  <c r="O21"/>
  <c r="K21"/>
  <c r="P20"/>
  <c r="O20" s="1"/>
  <c r="K20"/>
  <c r="P19"/>
  <c r="O19" s="1"/>
  <c r="K19"/>
  <c r="O18"/>
  <c r="K18"/>
  <c r="O17"/>
  <c r="K17"/>
  <c r="P16"/>
  <c r="O16" s="1"/>
  <c r="K16"/>
  <c r="O15"/>
  <c r="K15"/>
  <c r="P14"/>
  <c r="O14" s="1"/>
  <c r="K14"/>
  <c r="O13"/>
  <c r="K13"/>
  <c r="P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4" l="1"/>
  <c r="O12"/>
  <c r="K204"/>
  <c r="O204"/>
  <c r="Q204" i="75"/>
  <c r="N204"/>
  <c r="M204"/>
  <c r="L204"/>
  <c r="J204"/>
  <c r="I204"/>
  <c r="H204"/>
  <c r="O203"/>
  <c r="K203"/>
  <c r="K202"/>
  <c r="K201"/>
  <c r="K200"/>
  <c r="O199"/>
  <c r="K199"/>
  <c r="O198"/>
  <c r="K198"/>
  <c r="P197"/>
  <c r="O197" s="1"/>
  <c r="K197"/>
  <c r="O196"/>
  <c r="K196"/>
  <c r="O195"/>
  <c r="K195"/>
  <c r="O194"/>
  <c r="K194"/>
  <c r="O193"/>
  <c r="K193"/>
  <c r="O192"/>
  <c r="K192"/>
  <c r="O191"/>
  <c r="K191"/>
  <c r="O189"/>
  <c r="K189"/>
  <c r="P188"/>
  <c r="O188" s="1"/>
  <c r="K188"/>
  <c r="O187"/>
  <c r="K187"/>
  <c r="O186"/>
  <c r="K186"/>
  <c r="O185"/>
  <c r="K185"/>
  <c r="P184"/>
  <c r="O184" s="1"/>
  <c r="K184"/>
  <c r="O183"/>
  <c r="K183"/>
  <c r="P182"/>
  <c r="O182" s="1"/>
  <c r="K182"/>
  <c r="O181"/>
  <c r="K181"/>
  <c r="O180"/>
  <c r="K180"/>
  <c r="P179"/>
  <c r="O179" s="1"/>
  <c r="K179"/>
  <c r="O178"/>
  <c r="K178"/>
  <c r="O177"/>
  <c r="K177"/>
  <c r="O176"/>
  <c r="K176"/>
  <c r="O175"/>
  <c r="K175"/>
  <c r="O174"/>
  <c r="K174"/>
  <c r="P173"/>
  <c r="O173" s="1"/>
  <c r="K173"/>
  <c r="O172"/>
  <c r="K172"/>
  <c r="O168"/>
  <c r="K168"/>
  <c r="O167"/>
  <c r="K167"/>
  <c r="O166"/>
  <c r="K166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P143"/>
  <c r="O143" s="1"/>
  <c r="K143"/>
  <c r="O142"/>
  <c r="K142"/>
  <c r="O141"/>
  <c r="K141"/>
  <c r="P140"/>
  <c r="O140" s="1"/>
  <c r="K140"/>
  <c r="O139"/>
  <c r="K139"/>
  <c r="P138"/>
  <c r="O138" s="1"/>
  <c r="K138"/>
  <c r="O137"/>
  <c r="K137"/>
  <c r="P136"/>
  <c r="O136" s="1"/>
  <c r="K136"/>
  <c r="O135"/>
  <c r="K135"/>
  <c r="P134"/>
  <c r="O134" s="1"/>
  <c r="K134"/>
  <c r="O133"/>
  <c r="K133"/>
  <c r="P132"/>
  <c r="O132" s="1"/>
  <c r="K132"/>
  <c r="O131"/>
  <c r="K131"/>
  <c r="P130"/>
  <c r="O130" s="1"/>
  <c r="K130"/>
  <c r="O129"/>
  <c r="K129"/>
  <c r="P128"/>
  <c r="O128" s="1"/>
  <c r="K128"/>
  <c r="O127"/>
  <c r="K127"/>
  <c r="O126"/>
  <c r="K126"/>
  <c r="O125"/>
  <c r="K125"/>
  <c r="P124"/>
  <c r="O124" s="1"/>
  <c r="K124"/>
  <c r="O122"/>
  <c r="K122"/>
  <c r="O121"/>
  <c r="K121"/>
  <c r="O119"/>
  <c r="K119"/>
  <c r="O118"/>
  <c r="K118"/>
  <c r="O117"/>
  <c r="K117"/>
  <c r="O116"/>
  <c r="K116"/>
  <c r="O115"/>
  <c r="K115"/>
  <c r="P114"/>
  <c r="O114" s="1"/>
  <c r="K114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P101"/>
  <c r="O101" s="1"/>
  <c r="K101"/>
  <c r="O100"/>
  <c r="K100"/>
  <c r="O99"/>
  <c r="K99"/>
  <c r="O98"/>
  <c r="K98"/>
  <c r="O97"/>
  <c r="K97"/>
  <c r="O96"/>
  <c r="K96"/>
  <c r="P95"/>
  <c r="O95" s="1"/>
  <c r="K95"/>
  <c r="O94"/>
  <c r="K94"/>
  <c r="O93"/>
  <c r="K93"/>
  <c r="O92"/>
  <c r="K92"/>
  <c r="P91"/>
  <c r="O91" s="1"/>
  <c r="K91"/>
  <c r="O90"/>
  <c r="K90"/>
  <c r="O89"/>
  <c r="K89"/>
  <c r="O88"/>
  <c r="K88"/>
  <c r="O87"/>
  <c r="K87"/>
  <c r="P86"/>
  <c r="O86" s="1"/>
  <c r="K86"/>
  <c r="O85"/>
  <c r="K85"/>
  <c r="O84"/>
  <c r="K84"/>
  <c r="O83"/>
  <c r="K83"/>
  <c r="O80"/>
  <c r="K80"/>
  <c r="O79"/>
  <c r="K79"/>
  <c r="O78"/>
  <c r="K78"/>
  <c r="P77"/>
  <c r="O77" s="1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P68"/>
  <c r="O68" s="1"/>
  <c r="K68"/>
  <c r="O67"/>
  <c r="K67"/>
  <c r="P66"/>
  <c r="O66" s="1"/>
  <c r="K66"/>
  <c r="P65"/>
  <c r="O65" s="1"/>
  <c r="K65"/>
  <c r="O64"/>
  <c r="K64"/>
  <c r="P63"/>
  <c r="O63" s="1"/>
  <c r="K63"/>
  <c r="O62"/>
  <c r="K62"/>
  <c r="P61"/>
  <c r="O61" s="1"/>
  <c r="K61"/>
  <c r="P60"/>
  <c r="O60" s="1"/>
  <c r="K60"/>
  <c r="O59"/>
  <c r="K59"/>
  <c r="O58"/>
  <c r="K58"/>
  <c r="O57"/>
  <c r="K57"/>
  <c r="O56"/>
  <c r="K56"/>
  <c r="O54"/>
  <c r="K54"/>
  <c r="P53"/>
  <c r="O53" s="1"/>
  <c r="K53"/>
  <c r="O52"/>
  <c r="K52"/>
  <c r="O51"/>
  <c r="K51"/>
  <c r="P50"/>
  <c r="O50" s="1"/>
  <c r="K50"/>
  <c r="O49"/>
  <c r="K49"/>
  <c r="O48"/>
  <c r="K48"/>
  <c r="O47"/>
  <c r="K47"/>
  <c r="P46"/>
  <c r="O46" s="1"/>
  <c r="K46"/>
  <c r="O45"/>
  <c r="K45"/>
  <c r="O44"/>
  <c r="K44"/>
  <c r="O43"/>
  <c r="K43"/>
  <c r="P42"/>
  <c r="O42" s="1"/>
  <c r="K42"/>
  <c r="O41"/>
  <c r="K41"/>
  <c r="P40"/>
  <c r="O40" s="1"/>
  <c r="K40"/>
  <c r="O39"/>
  <c r="K39"/>
  <c r="P38"/>
  <c r="O38" s="1"/>
  <c r="K38"/>
  <c r="O37"/>
  <c r="K37"/>
  <c r="P36"/>
  <c r="O36" s="1"/>
  <c r="K36"/>
  <c r="O35"/>
  <c r="K35"/>
  <c r="P34"/>
  <c r="O34" s="1"/>
  <c r="K34"/>
  <c r="O33"/>
  <c r="K33"/>
  <c r="P32"/>
  <c r="O32" s="1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P23"/>
  <c r="O23" s="1"/>
  <c r="K23"/>
  <c r="O22"/>
  <c r="K22"/>
  <c r="O21"/>
  <c r="K21"/>
  <c r="P20"/>
  <c r="O20" s="1"/>
  <c r="K20"/>
  <c r="P19"/>
  <c r="O19" s="1"/>
  <c r="K19"/>
  <c r="O18"/>
  <c r="K18"/>
  <c r="O17"/>
  <c r="K17"/>
  <c r="P16"/>
  <c r="O16" s="1"/>
  <c r="K16"/>
  <c r="O15"/>
  <c r="K15"/>
  <c r="P14"/>
  <c r="O14" s="1"/>
  <c r="K14"/>
  <c r="O13"/>
  <c r="K13"/>
  <c r="P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7" l="1"/>
  <c r="P204"/>
  <c r="K204"/>
  <c r="O12"/>
  <c r="O204" s="1"/>
  <c r="P195" i="74"/>
  <c r="O207" i="75" l="1"/>
  <c r="Q207" s="1"/>
  <c r="P186" i="74"/>
  <c r="P182" l="1"/>
  <c r="P180" l="1"/>
  <c r="P171" l="1"/>
  <c r="P163" l="1"/>
  <c r="P157" l="1"/>
  <c r="P140" l="1"/>
  <c r="P138" l="1"/>
  <c r="P134" l="1"/>
  <c r="P132" l="1"/>
  <c r="P130" l="1"/>
  <c r="P128" l="1"/>
  <c r="P124" l="1"/>
  <c r="P114" l="1"/>
  <c r="P101" l="1"/>
  <c r="P95" l="1"/>
  <c r="P86" l="1"/>
  <c r="P77" l="1"/>
  <c r="P71" l="1"/>
  <c r="P68" l="1"/>
  <c r="P66" l="1"/>
  <c r="P65" l="1"/>
  <c r="P63" l="1"/>
  <c r="P61" l="1"/>
  <c r="P60" l="1"/>
  <c r="P53" l="1"/>
  <c r="P50" l="1"/>
  <c r="P46" l="1"/>
  <c r="P42" l="1"/>
  <c r="P40" l="1"/>
  <c r="P38" l="1"/>
  <c r="P36" l="1"/>
  <c r="P177" l="1"/>
  <c r="P34" l="1"/>
  <c r="P32" l="1"/>
  <c r="P29" l="1"/>
  <c r="P23" l="1"/>
  <c r="P20" l="1"/>
  <c r="P19" l="1"/>
  <c r="P16" l="1"/>
  <c r="P14" l="1"/>
  <c r="P12" l="1"/>
  <c r="P143" l="1"/>
  <c r="P136" l="1"/>
  <c r="P91" l="1"/>
  <c r="Q202" l="1"/>
  <c r="N202"/>
  <c r="M202"/>
  <c r="L202"/>
  <c r="J202"/>
  <c r="I202"/>
  <c r="H202"/>
  <c r="O201"/>
  <c r="K201"/>
  <c r="K200"/>
  <c r="K199"/>
  <c r="K198"/>
  <c r="O197"/>
  <c r="K197"/>
  <c r="O196"/>
  <c r="K196"/>
  <c r="O195"/>
  <c r="K195"/>
  <c r="O194"/>
  <c r="K194"/>
  <c r="O193"/>
  <c r="K193"/>
  <c r="O192"/>
  <c r="K192"/>
  <c r="O191"/>
  <c r="K191"/>
  <c r="O190"/>
  <c r="K190"/>
  <c r="O189"/>
  <c r="K189"/>
  <c r="O187"/>
  <c r="K187"/>
  <c r="O186"/>
  <c r="K186"/>
  <c r="O185"/>
  <c r="K185"/>
  <c r="O184"/>
  <c r="K184"/>
  <c r="O183"/>
  <c r="K183"/>
  <c r="O182"/>
  <c r="K182"/>
  <c r="O181"/>
  <c r="K181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O127"/>
  <c r="K127"/>
  <c r="O126"/>
  <c r="K126"/>
  <c r="O125"/>
  <c r="K125"/>
  <c r="O124"/>
  <c r="K124"/>
  <c r="O122"/>
  <c r="K122"/>
  <c r="O121"/>
  <c r="K121"/>
  <c r="O119"/>
  <c r="K119"/>
  <c r="O118"/>
  <c r="K118"/>
  <c r="O117"/>
  <c r="K117"/>
  <c r="O116"/>
  <c r="K116"/>
  <c r="O115"/>
  <c r="K115"/>
  <c r="O114"/>
  <c r="K114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O205" s="1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71" i="73"/>
  <c r="K202" i="74" l="1"/>
  <c r="O202"/>
  <c r="P202"/>
  <c r="Q202" i="73" l="1"/>
  <c r="N202"/>
  <c r="M202"/>
  <c r="L202"/>
  <c r="J202"/>
  <c r="I202"/>
  <c r="H202"/>
  <c r="O201"/>
  <c r="K201"/>
  <c r="K200"/>
  <c r="K199"/>
  <c r="K198"/>
  <c r="O197"/>
  <c r="K197"/>
  <c r="O196"/>
  <c r="K196"/>
  <c r="O195"/>
  <c r="K195"/>
  <c r="O194"/>
  <c r="K194"/>
  <c r="O193"/>
  <c r="K193"/>
  <c r="O192"/>
  <c r="K192"/>
  <c r="O191"/>
  <c r="K191"/>
  <c r="O190"/>
  <c r="K190"/>
  <c r="O189"/>
  <c r="K189"/>
  <c r="O187"/>
  <c r="K187"/>
  <c r="O186"/>
  <c r="K186"/>
  <c r="O185"/>
  <c r="K185"/>
  <c r="O184"/>
  <c r="K184"/>
  <c r="O183"/>
  <c r="K183"/>
  <c r="O182"/>
  <c r="K182"/>
  <c r="O181"/>
  <c r="K181"/>
  <c r="P180"/>
  <c r="O180" s="1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P171"/>
  <c r="O171" s="1"/>
  <c r="K171"/>
  <c r="O170"/>
  <c r="K170"/>
  <c r="O167"/>
  <c r="K167"/>
  <c r="O166"/>
  <c r="K166"/>
  <c r="O165"/>
  <c r="K165"/>
  <c r="O164"/>
  <c r="K164"/>
  <c r="P163"/>
  <c r="O163" s="1"/>
  <c r="K163"/>
  <c r="O162"/>
  <c r="K162"/>
  <c r="O161"/>
  <c r="K161"/>
  <c r="O160"/>
  <c r="K160"/>
  <c r="O159"/>
  <c r="K159"/>
  <c r="O158"/>
  <c r="K158"/>
  <c r="P157"/>
  <c r="O157" s="1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P134"/>
  <c r="O134" s="1"/>
  <c r="K134"/>
  <c r="O133"/>
  <c r="K133"/>
  <c r="O132"/>
  <c r="K132"/>
  <c r="O131"/>
  <c r="K131"/>
  <c r="P130"/>
  <c r="O130" s="1"/>
  <c r="K130"/>
  <c r="O129"/>
  <c r="K129"/>
  <c r="O128"/>
  <c r="K128"/>
  <c r="O127"/>
  <c r="K127"/>
  <c r="O126"/>
  <c r="K126"/>
  <c r="O125"/>
  <c r="K125"/>
  <c r="O124"/>
  <c r="K124"/>
  <c r="O122"/>
  <c r="K122"/>
  <c r="O121"/>
  <c r="K121"/>
  <c r="O119"/>
  <c r="K119"/>
  <c r="O118"/>
  <c r="K118"/>
  <c r="O117"/>
  <c r="K117"/>
  <c r="O116"/>
  <c r="K116"/>
  <c r="O115"/>
  <c r="K115"/>
  <c r="O114"/>
  <c r="K114"/>
  <c r="O113"/>
  <c r="K113"/>
  <c r="O112"/>
  <c r="K112"/>
  <c r="O110"/>
  <c r="K110"/>
  <c r="O109"/>
  <c r="K109"/>
  <c r="O108"/>
  <c r="K108"/>
  <c r="O107"/>
  <c r="K107"/>
  <c r="O106"/>
  <c r="K106"/>
  <c r="P105"/>
  <c r="O105" s="1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O71"/>
  <c r="K71"/>
  <c r="O70"/>
  <c r="K70"/>
  <c r="O69"/>
  <c r="K69"/>
  <c r="O68"/>
  <c r="K68"/>
  <c r="O67"/>
  <c r="K67"/>
  <c r="P66"/>
  <c r="O66" s="1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P42"/>
  <c r="O42" s="1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O23"/>
  <c r="K23"/>
  <c r="O22"/>
  <c r="K22"/>
  <c r="O21"/>
  <c r="K21"/>
  <c r="P20"/>
  <c r="O20" s="1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2" l="1"/>
  <c r="O202"/>
  <c r="P202"/>
  <c r="K197" i="72"/>
  <c r="Q200" l="1"/>
  <c r="N200"/>
  <c r="M200"/>
  <c r="L200"/>
  <c r="J200"/>
  <c r="I200"/>
  <c r="H200"/>
  <c r="O199"/>
  <c r="K199"/>
  <c r="K198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5"/>
  <c r="K185"/>
  <c r="O184"/>
  <c r="K184"/>
  <c r="O183"/>
  <c r="K183"/>
  <c r="O182"/>
  <c r="K182"/>
  <c r="O181"/>
  <c r="K181"/>
  <c r="O180"/>
  <c r="K180"/>
  <c r="O179"/>
  <c r="K179"/>
  <c r="P178"/>
  <c r="O178" s="1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P169"/>
  <c r="O169" s="1"/>
  <c r="K169"/>
  <c r="O168"/>
  <c r="K168"/>
  <c r="O165"/>
  <c r="K165"/>
  <c r="O164"/>
  <c r="K164"/>
  <c r="O163"/>
  <c r="K163"/>
  <c r="O162"/>
  <c r="K162"/>
  <c r="P161"/>
  <c r="O161" s="1"/>
  <c r="K161"/>
  <c r="O160"/>
  <c r="K160"/>
  <c r="O159"/>
  <c r="K159"/>
  <c r="O158"/>
  <c r="K158"/>
  <c r="O157"/>
  <c r="K157"/>
  <c r="O156"/>
  <c r="K156"/>
  <c r="P155"/>
  <c r="O155" s="1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P132"/>
  <c r="O132" s="1"/>
  <c r="K132"/>
  <c r="O131"/>
  <c r="K131"/>
  <c r="O130"/>
  <c r="K130"/>
  <c r="O129"/>
  <c r="K129"/>
  <c r="P128"/>
  <c r="O128" s="1"/>
  <c r="K128"/>
  <c r="O127"/>
  <c r="K127"/>
  <c r="O126"/>
  <c r="K126"/>
  <c r="O125"/>
  <c r="K125"/>
  <c r="O124"/>
  <c r="K124"/>
  <c r="O123"/>
  <c r="K123"/>
  <c r="O122"/>
  <c r="K122"/>
  <c r="O120"/>
  <c r="K120"/>
  <c r="O119"/>
  <c r="K119"/>
  <c r="O117"/>
  <c r="K117"/>
  <c r="O116"/>
  <c r="K116"/>
  <c r="O115"/>
  <c r="K115"/>
  <c r="O114"/>
  <c r="K114"/>
  <c r="O113"/>
  <c r="K113"/>
  <c r="O112"/>
  <c r="K112"/>
  <c r="O111"/>
  <c r="K111"/>
  <c r="O110"/>
  <c r="K110"/>
  <c r="O108"/>
  <c r="K108"/>
  <c r="O107"/>
  <c r="K107"/>
  <c r="O106"/>
  <c r="K106"/>
  <c r="O105"/>
  <c r="K105"/>
  <c r="O104"/>
  <c r="K104"/>
  <c r="P103"/>
  <c r="O103" s="1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O68"/>
  <c r="K68"/>
  <c r="O67"/>
  <c r="K67"/>
  <c r="P66"/>
  <c r="O66" s="1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P42"/>
  <c r="O42" s="1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P29"/>
  <c r="O29" s="1"/>
  <c r="K29"/>
  <c r="O28"/>
  <c r="K28"/>
  <c r="O27"/>
  <c r="K27"/>
  <c r="O26"/>
  <c r="K26"/>
  <c r="O25"/>
  <c r="K25"/>
  <c r="O24"/>
  <c r="K24"/>
  <c r="O23"/>
  <c r="K23"/>
  <c r="O22"/>
  <c r="K22"/>
  <c r="O21"/>
  <c r="K21"/>
  <c r="P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0" l="1"/>
  <c r="K200"/>
  <c r="O20"/>
  <c r="O200" s="1"/>
  <c r="P71" i="71"/>
  <c r="O71" s="1"/>
  <c r="P103"/>
  <c r="O103" s="1"/>
  <c r="P29"/>
  <c r="O29" s="1"/>
  <c r="P178"/>
  <c r="O178" s="1"/>
  <c r="P169"/>
  <c r="O169" s="1"/>
  <c r="P66"/>
  <c r="O66" s="1"/>
  <c r="P20"/>
  <c r="O20" s="1"/>
  <c r="P132"/>
  <c r="O132" s="1"/>
  <c r="Q200"/>
  <c r="N200"/>
  <c r="M200"/>
  <c r="L200"/>
  <c r="J200"/>
  <c r="I200"/>
  <c r="H200"/>
  <c r="O199"/>
  <c r="K199"/>
  <c r="K198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5"/>
  <c r="K185"/>
  <c r="O184"/>
  <c r="K184"/>
  <c r="O183"/>
  <c r="K183"/>
  <c r="O182"/>
  <c r="K182"/>
  <c r="O181"/>
  <c r="K181"/>
  <c r="O180"/>
  <c r="K180"/>
  <c r="O179"/>
  <c r="K179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K169"/>
  <c r="O168"/>
  <c r="K168"/>
  <c r="O165"/>
  <c r="K165"/>
  <c r="O164"/>
  <c r="K164"/>
  <c r="O163"/>
  <c r="K163"/>
  <c r="O162"/>
  <c r="K162"/>
  <c r="P161"/>
  <c r="O161" s="1"/>
  <c r="K161"/>
  <c r="O160"/>
  <c r="K160"/>
  <c r="O159"/>
  <c r="K159"/>
  <c r="O158"/>
  <c r="K158"/>
  <c r="O157"/>
  <c r="K157"/>
  <c r="O156"/>
  <c r="K156"/>
  <c r="P155"/>
  <c r="O155" s="1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K132"/>
  <c r="O131"/>
  <c r="K131"/>
  <c r="O130"/>
  <c r="K130"/>
  <c r="O129"/>
  <c r="K129"/>
  <c r="P128"/>
  <c r="O128" s="1"/>
  <c r="K128"/>
  <c r="O127"/>
  <c r="K127"/>
  <c r="O126"/>
  <c r="K126"/>
  <c r="O125"/>
  <c r="K125"/>
  <c r="O124"/>
  <c r="K124"/>
  <c r="O123"/>
  <c r="K123"/>
  <c r="O122"/>
  <c r="K122"/>
  <c r="O120"/>
  <c r="K120"/>
  <c r="O119"/>
  <c r="K119"/>
  <c r="O117"/>
  <c r="K117"/>
  <c r="O116"/>
  <c r="K116"/>
  <c r="O115"/>
  <c r="K115"/>
  <c r="O114"/>
  <c r="K114"/>
  <c r="O113"/>
  <c r="K113"/>
  <c r="O112"/>
  <c r="K112"/>
  <c r="O111"/>
  <c r="K111"/>
  <c r="O110"/>
  <c r="K110"/>
  <c r="O108"/>
  <c r="K108"/>
  <c r="O107"/>
  <c r="K107"/>
  <c r="O106"/>
  <c r="K106"/>
  <c r="O105"/>
  <c r="K105"/>
  <c r="O104"/>
  <c r="K104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K71"/>
  <c r="O70"/>
  <c r="K70"/>
  <c r="O69"/>
  <c r="K69"/>
  <c r="O68"/>
  <c r="K68"/>
  <c r="O67"/>
  <c r="K67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P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K29"/>
  <c r="O28"/>
  <c r="K28"/>
  <c r="O27"/>
  <c r="K27"/>
  <c r="O26"/>
  <c r="K26"/>
  <c r="O25"/>
  <c r="K25"/>
  <c r="O24"/>
  <c r="K24"/>
  <c r="O23"/>
  <c r="K23"/>
  <c r="O22"/>
  <c r="K22"/>
  <c r="O21"/>
  <c r="K21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0" l="1"/>
  <c r="K200"/>
  <c r="O42"/>
  <c r="O200" s="1"/>
  <c r="Q200" i="70"/>
  <c r="N200"/>
  <c r="M200"/>
  <c r="L200"/>
  <c r="J200"/>
  <c r="I200"/>
  <c r="H200"/>
  <c r="O199"/>
  <c r="K199"/>
  <c r="K198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5"/>
  <c r="K185"/>
  <c r="O184"/>
  <c r="K184"/>
  <c r="O183"/>
  <c r="K183"/>
  <c r="O182"/>
  <c r="K182"/>
  <c r="O181"/>
  <c r="K181"/>
  <c r="O180"/>
  <c r="K180"/>
  <c r="O179"/>
  <c r="K179"/>
  <c r="P178"/>
  <c r="O178" s="1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P169"/>
  <c r="O169" s="1"/>
  <c r="K169"/>
  <c r="O168"/>
  <c r="K168"/>
  <c r="O165"/>
  <c r="K165"/>
  <c r="O164"/>
  <c r="K164"/>
  <c r="O163"/>
  <c r="K163"/>
  <c r="O162"/>
  <c r="K162"/>
  <c r="P161"/>
  <c r="O161" s="1"/>
  <c r="K161"/>
  <c r="O160"/>
  <c r="K160"/>
  <c r="O159"/>
  <c r="K159"/>
  <c r="O158"/>
  <c r="K158"/>
  <c r="O157"/>
  <c r="K157"/>
  <c r="O156"/>
  <c r="K156"/>
  <c r="P155"/>
  <c r="O155" s="1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P132"/>
  <c r="O132" s="1"/>
  <c r="K132"/>
  <c r="O131"/>
  <c r="K131"/>
  <c r="O130"/>
  <c r="K130"/>
  <c r="O129"/>
  <c r="K129"/>
  <c r="P128"/>
  <c r="O128" s="1"/>
  <c r="K128"/>
  <c r="O127"/>
  <c r="K127"/>
  <c r="O126"/>
  <c r="K126"/>
  <c r="O125"/>
  <c r="K125"/>
  <c r="O124"/>
  <c r="K124"/>
  <c r="O123"/>
  <c r="K123"/>
  <c r="O122"/>
  <c r="K122"/>
  <c r="O120"/>
  <c r="K120"/>
  <c r="O119"/>
  <c r="K119"/>
  <c r="O117"/>
  <c r="K117"/>
  <c r="O116"/>
  <c r="K116"/>
  <c r="O115"/>
  <c r="K115"/>
  <c r="O114"/>
  <c r="K114"/>
  <c r="O113"/>
  <c r="K113"/>
  <c r="O112"/>
  <c r="K112"/>
  <c r="O111"/>
  <c r="K111"/>
  <c r="O110"/>
  <c r="K110"/>
  <c r="O108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P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K200" s="1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P200" l="1"/>
  <c r="O42"/>
  <c r="O200" s="1"/>
  <c r="N200" i="69"/>
  <c r="M200"/>
  <c r="L200"/>
  <c r="J200"/>
  <c r="I200"/>
  <c r="H200"/>
  <c r="O199"/>
  <c r="K199"/>
  <c r="K198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5"/>
  <c r="K185"/>
  <c r="O184"/>
  <c r="K184"/>
  <c r="O183"/>
  <c r="K183"/>
  <c r="O182"/>
  <c r="K182"/>
  <c r="O181"/>
  <c r="K181"/>
  <c r="O180"/>
  <c r="K180"/>
  <c r="O179"/>
  <c r="K179"/>
  <c r="P178"/>
  <c r="O178" s="1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P169"/>
  <c r="O169" s="1"/>
  <c r="K169"/>
  <c r="O168"/>
  <c r="K168"/>
  <c r="O165"/>
  <c r="K165"/>
  <c r="O164"/>
  <c r="K164"/>
  <c r="O163"/>
  <c r="K163"/>
  <c r="O162"/>
  <c r="K162"/>
  <c r="P161"/>
  <c r="O161" s="1"/>
  <c r="K161"/>
  <c r="O160"/>
  <c r="K160"/>
  <c r="O159"/>
  <c r="K159"/>
  <c r="O158"/>
  <c r="K158"/>
  <c r="O157"/>
  <c r="K157"/>
  <c r="O156"/>
  <c r="K156"/>
  <c r="P155"/>
  <c r="O155" s="1"/>
  <c r="K155"/>
  <c r="O154"/>
  <c r="K154"/>
  <c r="O153"/>
  <c r="K153"/>
  <c r="O152"/>
  <c r="K152"/>
  <c r="O151"/>
  <c r="K151"/>
  <c r="O150"/>
  <c r="K150"/>
  <c r="O149"/>
  <c r="K149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P132"/>
  <c r="O132" s="1"/>
  <c r="K132"/>
  <c r="O131"/>
  <c r="K131"/>
  <c r="O130"/>
  <c r="K130"/>
  <c r="O129"/>
  <c r="K129"/>
  <c r="P128"/>
  <c r="O128" s="1"/>
  <c r="K128"/>
  <c r="O127"/>
  <c r="K127"/>
  <c r="O126"/>
  <c r="K126"/>
  <c r="O125"/>
  <c r="K125"/>
  <c r="O124"/>
  <c r="K124"/>
  <c r="O123"/>
  <c r="K123"/>
  <c r="O122"/>
  <c r="K122"/>
  <c r="O120"/>
  <c r="K120"/>
  <c r="O119"/>
  <c r="K119"/>
  <c r="O117"/>
  <c r="K117"/>
  <c r="O116"/>
  <c r="K116"/>
  <c r="O115"/>
  <c r="K115"/>
  <c r="O114"/>
  <c r="K114"/>
  <c r="O113"/>
  <c r="K113"/>
  <c r="O112"/>
  <c r="K112"/>
  <c r="O111"/>
  <c r="K111"/>
  <c r="O110"/>
  <c r="K110"/>
  <c r="O108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P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0" l="1"/>
  <c r="P200"/>
  <c r="O42"/>
  <c r="H200" i="68"/>
  <c r="Q200" l="1"/>
  <c r="N200"/>
  <c r="M200"/>
  <c r="L200"/>
  <c r="J200"/>
  <c r="I200"/>
  <c r="O199"/>
  <c r="K199"/>
  <c r="K198"/>
  <c r="K196"/>
  <c r="O195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5"/>
  <c r="K185"/>
  <c r="O184"/>
  <c r="K184"/>
  <c r="O183"/>
  <c r="K183"/>
  <c r="O182"/>
  <c r="K182"/>
  <c r="O181"/>
  <c r="K181"/>
  <c r="O180"/>
  <c r="K180"/>
  <c r="O179"/>
  <c r="K179"/>
  <c r="P178"/>
  <c r="O178" s="1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P169"/>
  <c r="O169"/>
  <c r="K169"/>
  <c r="O168"/>
  <c r="K168"/>
  <c r="O165"/>
  <c r="K165"/>
  <c r="O164"/>
  <c r="K164"/>
  <c r="O163"/>
  <c r="K163"/>
  <c r="O162"/>
  <c r="K162"/>
  <c r="P161"/>
  <c r="O161" s="1"/>
  <c r="K161"/>
  <c r="O160"/>
  <c r="K160"/>
  <c r="O159"/>
  <c r="K159"/>
  <c r="O158"/>
  <c r="K158"/>
  <c r="O157"/>
  <c r="K157"/>
  <c r="O156"/>
  <c r="K156"/>
  <c r="P155"/>
  <c r="O155" s="1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P132"/>
  <c r="O132" s="1"/>
  <c r="K132"/>
  <c r="O131"/>
  <c r="K131"/>
  <c r="O130"/>
  <c r="K130"/>
  <c r="O129"/>
  <c r="K129"/>
  <c r="P128"/>
  <c r="O128" s="1"/>
  <c r="K128"/>
  <c r="O127"/>
  <c r="K127"/>
  <c r="O126"/>
  <c r="K126"/>
  <c r="O125"/>
  <c r="K125"/>
  <c r="O124"/>
  <c r="K124"/>
  <c r="O123"/>
  <c r="K123"/>
  <c r="O122"/>
  <c r="K122"/>
  <c r="O120"/>
  <c r="K120"/>
  <c r="O119"/>
  <c r="K119"/>
  <c r="O117"/>
  <c r="K117"/>
  <c r="O116"/>
  <c r="K116"/>
  <c r="O115"/>
  <c r="K115"/>
  <c r="O114"/>
  <c r="K114"/>
  <c r="O113"/>
  <c r="K113"/>
  <c r="O112"/>
  <c r="K112"/>
  <c r="O111"/>
  <c r="K111"/>
  <c r="O110"/>
  <c r="K110"/>
  <c r="O108"/>
  <c r="K108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P73"/>
  <c r="O73" s="1"/>
  <c r="K73"/>
  <c r="O72"/>
  <c r="K72"/>
  <c r="P71"/>
  <c r="O71" s="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P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200" l="1"/>
  <c r="P200"/>
  <c r="O42"/>
  <c r="O200" s="1"/>
  <c r="O57" i="67"/>
  <c r="O58"/>
  <c r="K57"/>
  <c r="K58"/>
  <c r="P42" l="1"/>
  <c r="P70"/>
  <c r="P160"/>
  <c r="P131"/>
  <c r="P177"/>
  <c r="P168"/>
  <c r="P154"/>
  <c r="P72"/>
  <c r="P127"/>
  <c r="P199" l="1"/>
  <c r="Q199"/>
  <c r="N199"/>
  <c r="M199"/>
  <c r="L199"/>
  <c r="J199"/>
  <c r="I199"/>
  <c r="H199"/>
  <c r="O198"/>
  <c r="K198"/>
  <c r="K197"/>
  <c r="K195"/>
  <c r="O194"/>
  <c r="K194"/>
  <c r="O193"/>
  <c r="K193"/>
  <c r="O192"/>
  <c r="K192"/>
  <c r="O191"/>
  <c r="K191"/>
  <c r="O190"/>
  <c r="K190"/>
  <c r="O189"/>
  <c r="K189"/>
  <c r="O188"/>
  <c r="K188"/>
  <c r="O187"/>
  <c r="K187"/>
  <c r="O186"/>
  <c r="K186"/>
  <c r="O184"/>
  <c r="K184"/>
  <c r="O183"/>
  <c r="K183"/>
  <c r="O182"/>
  <c r="K182"/>
  <c r="O181"/>
  <c r="K181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O121"/>
  <c r="K121"/>
  <c r="O119"/>
  <c r="K119"/>
  <c r="O118"/>
  <c r="K118"/>
  <c r="O116"/>
  <c r="K116"/>
  <c r="O115"/>
  <c r="K115"/>
  <c r="O114"/>
  <c r="K114"/>
  <c r="O113"/>
  <c r="K113"/>
  <c r="O112"/>
  <c r="K112"/>
  <c r="O111"/>
  <c r="K111"/>
  <c r="O110"/>
  <c r="K110"/>
  <c r="O109"/>
  <c r="K109"/>
  <c r="O107"/>
  <c r="K107"/>
  <c r="O106"/>
  <c r="K106"/>
  <c r="O105"/>
  <c r="K105"/>
  <c r="O104"/>
  <c r="K104"/>
  <c r="O103"/>
  <c r="K103"/>
  <c r="O102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199" l="1"/>
  <c r="O199"/>
  <c r="K193" i="66"/>
  <c r="O108" l="1"/>
  <c r="K108"/>
  <c r="O68"/>
  <c r="K68"/>
  <c r="O117"/>
  <c r="K117"/>
  <c r="O102"/>
  <c r="Q195" l="1"/>
  <c r="P195"/>
  <c r="N195"/>
  <c r="M195"/>
  <c r="L195"/>
  <c r="J195"/>
  <c r="I195"/>
  <c r="H195"/>
  <c r="O194"/>
  <c r="K194"/>
  <c r="K192"/>
  <c r="O191"/>
  <c r="K191"/>
  <c r="O190"/>
  <c r="K190"/>
  <c r="O189"/>
  <c r="K189"/>
  <c r="O188"/>
  <c r="K188"/>
  <c r="O187"/>
  <c r="K187"/>
  <c r="O186"/>
  <c r="K186"/>
  <c r="O185"/>
  <c r="K185"/>
  <c r="O184"/>
  <c r="K184"/>
  <c r="O183"/>
  <c r="K183"/>
  <c r="O182"/>
  <c r="K182"/>
  <c r="O181"/>
  <c r="K181"/>
  <c r="O180"/>
  <c r="K180"/>
  <c r="O179"/>
  <c r="K179"/>
  <c r="O178"/>
  <c r="K178"/>
  <c r="O177"/>
  <c r="K177"/>
  <c r="O176"/>
  <c r="K176"/>
  <c r="O175"/>
  <c r="K175"/>
  <c r="O174"/>
  <c r="K174"/>
  <c r="O173"/>
  <c r="K173"/>
  <c r="O172"/>
  <c r="K172"/>
  <c r="O171"/>
  <c r="K171"/>
  <c r="O170"/>
  <c r="K170"/>
  <c r="O169"/>
  <c r="K169"/>
  <c r="O168"/>
  <c r="K168"/>
  <c r="O167"/>
  <c r="K167"/>
  <c r="O166"/>
  <c r="K166"/>
  <c r="O165"/>
  <c r="K165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O121"/>
  <c r="K121"/>
  <c r="O120"/>
  <c r="K120"/>
  <c r="O118"/>
  <c r="K118"/>
  <c r="O115"/>
  <c r="K115"/>
  <c r="O114"/>
  <c r="K114"/>
  <c r="O113"/>
  <c r="K113"/>
  <c r="O112"/>
  <c r="K112"/>
  <c r="O111"/>
  <c r="K111"/>
  <c r="O110"/>
  <c r="K110"/>
  <c r="O109"/>
  <c r="K109"/>
  <c r="O106"/>
  <c r="K106"/>
  <c r="O105"/>
  <c r="K105"/>
  <c r="O104"/>
  <c r="K104"/>
  <c r="O103"/>
  <c r="K103"/>
  <c r="K102"/>
  <c r="O101"/>
  <c r="K101"/>
  <c r="O100"/>
  <c r="K100"/>
  <c r="O99"/>
  <c r="K99"/>
  <c r="O98"/>
  <c r="K98"/>
  <c r="O97"/>
  <c r="K97"/>
  <c r="O96"/>
  <c r="K96"/>
  <c r="O95"/>
  <c r="K95"/>
  <c r="O94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8"/>
  <c r="K28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O195" l="1"/>
  <c r="K195"/>
  <c r="J190" i="65"/>
  <c r="H190" l="1"/>
  <c r="O161"/>
  <c r="K161"/>
  <c r="O158"/>
  <c r="K158"/>
  <c r="O48"/>
  <c r="O49"/>
  <c r="K49"/>
  <c r="O169" l="1"/>
  <c r="O164"/>
  <c r="O163"/>
  <c r="O159"/>
  <c r="O157"/>
  <c r="O139"/>
  <c r="O121"/>
  <c r="O117"/>
  <c r="O115"/>
  <c r="O99"/>
  <c r="O100"/>
  <c r="O98"/>
  <c r="O55"/>
  <c r="O28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50"/>
  <c r="K51"/>
  <c r="K52"/>
  <c r="K53"/>
  <c r="K54"/>
  <c r="K55"/>
  <c r="K56"/>
  <c r="K58"/>
  <c r="K59"/>
  <c r="K60"/>
  <c r="K61"/>
  <c r="K62"/>
  <c r="K63"/>
  <c r="K64"/>
  <c r="K65"/>
  <c r="K66"/>
  <c r="K67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9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O180"/>
  <c r="O179"/>
  <c r="Q190"/>
  <c r="P190"/>
  <c r="N190"/>
  <c r="M190"/>
  <c r="L190"/>
  <c r="I190"/>
  <c r="O189"/>
  <c r="O187"/>
  <c r="O186"/>
  <c r="O185"/>
  <c r="O184"/>
  <c r="O183"/>
  <c r="O182"/>
  <c r="O181"/>
  <c r="O178"/>
  <c r="O177"/>
  <c r="O176"/>
  <c r="O175"/>
  <c r="O174"/>
  <c r="O173"/>
  <c r="O172"/>
  <c r="O171"/>
  <c r="O170"/>
  <c r="O168"/>
  <c r="O167"/>
  <c r="O166"/>
  <c r="O165"/>
  <c r="O162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0"/>
  <c r="O119"/>
  <c r="O118"/>
  <c r="O116"/>
  <c r="O114"/>
  <c r="O113"/>
  <c r="O112"/>
  <c r="O111"/>
  <c r="O110"/>
  <c r="O109"/>
  <c r="O108"/>
  <c r="O106"/>
  <c r="O105"/>
  <c r="O104"/>
  <c r="O103"/>
  <c r="O101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7"/>
  <c r="O66"/>
  <c r="O65"/>
  <c r="O64"/>
  <c r="O63"/>
  <c r="O62"/>
  <c r="O61"/>
  <c r="O60"/>
  <c r="O59"/>
  <c r="O58"/>
  <c r="O56"/>
  <c r="O54"/>
  <c r="O53"/>
  <c r="O52"/>
  <c r="O51"/>
  <c r="O50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7"/>
  <c r="O26"/>
  <c r="O25"/>
  <c r="O24"/>
  <c r="O23"/>
  <c r="O22"/>
  <c r="O21"/>
  <c r="O20"/>
  <c r="O19"/>
  <c r="O18"/>
  <c r="O17"/>
  <c r="O16"/>
  <c r="O15"/>
  <c r="K15"/>
  <c r="O14"/>
  <c r="K14"/>
  <c r="O13"/>
  <c r="K13"/>
  <c r="O12"/>
  <c r="K12"/>
  <c r="O11"/>
  <c r="K11"/>
  <c r="O10"/>
  <c r="K10"/>
  <c r="I9"/>
  <c r="J9" s="1"/>
  <c r="K9" s="1"/>
  <c r="L9" s="1"/>
  <c r="M9" s="1"/>
  <c r="N9" s="1"/>
  <c r="O9" s="1"/>
  <c r="P9" s="1"/>
  <c r="Q9" s="1"/>
  <c r="B9"/>
  <c r="C9" s="1"/>
  <c r="D9" s="1"/>
  <c r="E9" s="1"/>
  <c r="F9" s="1"/>
  <c r="G9" s="1"/>
  <c r="K190" l="1"/>
  <c r="O190"/>
  <c r="I179" i="64"/>
  <c r="H179" l="1"/>
  <c r="O101" l="1"/>
  <c r="O102"/>
  <c r="O103"/>
  <c r="K103"/>
  <c r="Q179" l="1"/>
  <c r="P179"/>
  <c r="N179"/>
  <c r="M179"/>
  <c r="L179"/>
  <c r="O178"/>
  <c r="K178"/>
  <c r="O177"/>
  <c r="K177"/>
  <c r="O176"/>
  <c r="K176"/>
  <c r="O175"/>
  <c r="K175"/>
  <c r="O174"/>
  <c r="K174"/>
  <c r="O173"/>
  <c r="K173"/>
  <c r="O172"/>
  <c r="K172"/>
  <c r="O171"/>
  <c r="K171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K160"/>
  <c r="O159"/>
  <c r="K159"/>
  <c r="O158"/>
  <c r="K158"/>
  <c r="O157"/>
  <c r="K157"/>
  <c r="O156"/>
  <c r="K156"/>
  <c r="O154"/>
  <c r="K154"/>
  <c r="O151"/>
  <c r="K151"/>
  <c r="O150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K134"/>
  <c r="O133"/>
  <c r="K133"/>
  <c r="O132"/>
  <c r="K132"/>
  <c r="O131"/>
  <c r="K131"/>
  <c r="O130"/>
  <c r="K130"/>
  <c r="O129"/>
  <c r="K129"/>
  <c r="O128"/>
  <c r="K128"/>
  <c r="O127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5"/>
  <c r="K115"/>
  <c r="O114"/>
  <c r="K114"/>
  <c r="O113"/>
  <c r="K113"/>
  <c r="O111"/>
  <c r="K111"/>
  <c r="O109"/>
  <c r="K109"/>
  <c r="O108"/>
  <c r="K108"/>
  <c r="O107"/>
  <c r="K107"/>
  <c r="O106"/>
  <c r="K106"/>
  <c r="O105"/>
  <c r="K105"/>
  <c r="O104"/>
  <c r="K104"/>
  <c r="K102"/>
  <c r="K101"/>
  <c r="O100"/>
  <c r="K100"/>
  <c r="O99"/>
  <c r="K99"/>
  <c r="K98"/>
  <c r="O97"/>
  <c r="K97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B9"/>
  <c r="C9" s="1"/>
  <c r="D9" s="1"/>
  <c r="E9" s="1"/>
  <c r="F9" s="1"/>
  <c r="G9" s="1"/>
  <c r="I9" s="1"/>
  <c r="J9" s="1"/>
  <c r="K9" s="1"/>
  <c r="L9" s="1"/>
  <c r="M9" s="1"/>
  <c r="N9" s="1"/>
  <c r="O9" s="1"/>
  <c r="P9" s="1"/>
  <c r="Q9" s="1"/>
  <c r="O179" l="1"/>
  <c r="K179"/>
  <c r="Q170" i="63"/>
  <c r="P170"/>
  <c r="N170"/>
  <c r="M170"/>
  <c r="L170"/>
  <c r="J170"/>
  <c r="I170"/>
  <c r="H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K152"/>
  <c r="O151"/>
  <c r="K151"/>
  <c r="O150"/>
  <c r="K150"/>
  <c r="O149"/>
  <c r="K149"/>
  <c r="O148"/>
  <c r="K148"/>
  <c r="O147"/>
  <c r="K147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K128"/>
  <c r="O127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09"/>
  <c r="K109"/>
  <c r="O108"/>
  <c r="K108"/>
  <c r="O107"/>
  <c r="K107"/>
  <c r="O105"/>
  <c r="K105"/>
  <c r="O104"/>
  <c r="K104"/>
  <c r="O103"/>
  <c r="K103"/>
  <c r="O102"/>
  <c r="K102"/>
  <c r="O101"/>
  <c r="K101"/>
  <c r="O100"/>
  <c r="K100"/>
  <c r="O99"/>
  <c r="K99"/>
  <c r="K98"/>
  <c r="K97"/>
  <c r="O96"/>
  <c r="K96"/>
  <c r="O95"/>
  <c r="K95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O170" s="1"/>
  <c r="K10"/>
  <c r="B9"/>
  <c r="C9" s="1"/>
  <c r="D9" s="1"/>
  <c r="E9" s="1"/>
  <c r="F9" s="1"/>
  <c r="G9" s="1"/>
  <c r="H9" s="1"/>
  <c r="I9" s="1"/>
  <c r="J9" s="1"/>
  <c r="K9" s="1"/>
  <c r="L9" s="1"/>
  <c r="M9" s="1"/>
  <c r="N9" s="1"/>
  <c r="O9" s="1"/>
  <c r="P9" s="1"/>
  <c r="Q9" s="1"/>
  <c r="K170" l="1"/>
  <c r="Q170" i="62"/>
  <c r="P170"/>
  <c r="N170"/>
  <c r="M170"/>
  <c r="L170"/>
  <c r="J170"/>
  <c r="I170"/>
  <c r="H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K152"/>
  <c r="O151"/>
  <c r="K151"/>
  <c r="O150"/>
  <c r="K150"/>
  <c r="O149"/>
  <c r="K149"/>
  <c r="O148"/>
  <c r="K148"/>
  <c r="O147"/>
  <c r="K147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K128"/>
  <c r="O127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09"/>
  <c r="K109"/>
  <c r="O108"/>
  <c r="K108"/>
  <c r="O107"/>
  <c r="K107"/>
  <c r="O105"/>
  <c r="K105"/>
  <c r="O104"/>
  <c r="K104"/>
  <c r="O103"/>
  <c r="K103"/>
  <c r="O102"/>
  <c r="K102"/>
  <c r="O101"/>
  <c r="K101"/>
  <c r="O100"/>
  <c r="K100"/>
  <c r="O99"/>
  <c r="K99"/>
  <c r="K98"/>
  <c r="K97"/>
  <c r="O96"/>
  <c r="K96"/>
  <c r="O95"/>
  <c r="K95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K170" s="1"/>
  <c r="B9"/>
  <c r="C9" s="1"/>
  <c r="D9" s="1"/>
  <c r="E9" s="1"/>
  <c r="F9" s="1"/>
  <c r="G9" s="1"/>
  <c r="H9" s="1"/>
  <c r="I9" s="1"/>
  <c r="J9" s="1"/>
  <c r="K9" s="1"/>
  <c r="L9" s="1"/>
  <c r="M9" s="1"/>
  <c r="N9" s="1"/>
  <c r="O9" s="1"/>
  <c r="P9" s="1"/>
  <c r="Q9" s="1"/>
  <c r="O170" l="1"/>
  <c r="Q170" i="61"/>
  <c r="P170"/>
  <c r="N170"/>
  <c r="M170"/>
  <c r="L170"/>
  <c r="J170"/>
  <c r="I170"/>
  <c r="H170"/>
  <c r="O169"/>
  <c r="K169"/>
  <c r="O168"/>
  <c r="K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K152"/>
  <c r="O151"/>
  <c r="K151"/>
  <c r="O150"/>
  <c r="K150"/>
  <c r="O149"/>
  <c r="K149"/>
  <c r="O148"/>
  <c r="K148"/>
  <c r="O147"/>
  <c r="K147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K128"/>
  <c r="O127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09"/>
  <c r="K109"/>
  <c r="O108"/>
  <c r="K108"/>
  <c r="O107"/>
  <c r="K107"/>
  <c r="O105"/>
  <c r="K105"/>
  <c r="O104"/>
  <c r="K104"/>
  <c r="O103"/>
  <c r="K103"/>
  <c r="O102"/>
  <c r="K102"/>
  <c r="O101"/>
  <c r="K101"/>
  <c r="O100"/>
  <c r="K100"/>
  <c r="O99"/>
  <c r="K99"/>
  <c r="K98"/>
  <c r="K97"/>
  <c r="O96"/>
  <c r="K96"/>
  <c r="O95"/>
  <c r="K95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K170" s="1"/>
  <c r="B9"/>
  <c r="C9" s="1"/>
  <c r="D9" s="1"/>
  <c r="E9" s="1"/>
  <c r="F9" s="1"/>
  <c r="G9" s="1"/>
  <c r="H9" s="1"/>
  <c r="I9" s="1"/>
  <c r="J9" s="1"/>
  <c r="K9" s="1"/>
  <c r="L9" s="1"/>
  <c r="M9" s="1"/>
  <c r="N9" s="1"/>
  <c r="O9" s="1"/>
  <c r="P9" s="1"/>
  <c r="Q9" s="1"/>
  <c r="O170" l="1"/>
  <c r="Q168" i="60"/>
  <c r="P168"/>
  <c r="N168"/>
  <c r="M168"/>
  <c r="L168"/>
  <c r="J168"/>
  <c r="I168"/>
  <c r="H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10"/>
  <c r="K110"/>
  <c r="O109"/>
  <c r="K109"/>
  <c r="O108"/>
  <c r="K108"/>
  <c r="O107"/>
  <c r="K107"/>
  <c r="O105"/>
  <c r="K105"/>
  <c r="O104"/>
  <c r="K104"/>
  <c r="O103"/>
  <c r="K103"/>
  <c r="O102"/>
  <c r="K102"/>
  <c r="O101"/>
  <c r="K101"/>
  <c r="O100"/>
  <c r="K100"/>
  <c r="O99"/>
  <c r="K99"/>
  <c r="K98"/>
  <c r="K97"/>
  <c r="O96"/>
  <c r="K96"/>
  <c r="O95"/>
  <c r="K95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K12"/>
  <c r="O11"/>
  <c r="K11"/>
  <c r="O10"/>
  <c r="K10"/>
  <c r="K168" s="1"/>
  <c r="B9"/>
  <c r="C9" s="1"/>
  <c r="D9" s="1"/>
  <c r="E9" s="1"/>
  <c r="F9" s="1"/>
  <c r="G9" s="1"/>
  <c r="H9" s="1"/>
  <c r="I9" s="1"/>
  <c r="J9" s="1"/>
  <c r="K9" s="1"/>
  <c r="L9" s="1"/>
  <c r="M9" s="1"/>
  <c r="N9" s="1"/>
  <c r="O9" s="1"/>
  <c r="P9" s="1"/>
  <c r="Q9" s="1"/>
  <c r="O168" l="1"/>
  <c r="Q168" i="59"/>
  <c r="N168"/>
  <c r="M168"/>
  <c r="J168"/>
  <c r="I168"/>
  <c r="H168"/>
  <c r="O167"/>
  <c r="K167"/>
  <c r="O166"/>
  <c r="K166"/>
  <c r="O165"/>
  <c r="K165"/>
  <c r="O164"/>
  <c r="K164"/>
  <c r="O163"/>
  <c r="K163"/>
  <c r="O162"/>
  <c r="K162"/>
  <c r="O161"/>
  <c r="K161"/>
  <c r="O160"/>
  <c r="K160"/>
  <c r="O159"/>
  <c r="K159"/>
  <c r="O158"/>
  <c r="K158"/>
  <c r="O157"/>
  <c r="K157"/>
  <c r="O156"/>
  <c r="K156"/>
  <c r="O155"/>
  <c r="K155"/>
  <c r="O154"/>
  <c r="K154"/>
  <c r="O153"/>
  <c r="K153"/>
  <c r="O152"/>
  <c r="K152"/>
  <c r="O151"/>
  <c r="K151"/>
  <c r="K150"/>
  <c r="O149"/>
  <c r="K149"/>
  <c r="O148"/>
  <c r="K148"/>
  <c r="O147"/>
  <c r="K147"/>
  <c r="O146"/>
  <c r="K146"/>
  <c r="O145"/>
  <c r="K145"/>
  <c r="O144"/>
  <c r="K144"/>
  <c r="O143"/>
  <c r="K143"/>
  <c r="O142"/>
  <c r="K142"/>
  <c r="O141"/>
  <c r="K141"/>
  <c r="O140"/>
  <c r="K140"/>
  <c r="O139"/>
  <c r="K139"/>
  <c r="O138"/>
  <c r="K138"/>
  <c r="O137"/>
  <c r="K137"/>
  <c r="O136"/>
  <c r="K136"/>
  <c r="O135"/>
  <c r="K135"/>
  <c r="O134"/>
  <c r="K134"/>
  <c r="O133"/>
  <c r="K133"/>
  <c r="O132"/>
  <c r="K132"/>
  <c r="O131"/>
  <c r="K131"/>
  <c r="O130"/>
  <c r="K130"/>
  <c r="O129"/>
  <c r="K129"/>
  <c r="O128"/>
  <c r="K128"/>
  <c r="K127"/>
  <c r="O126"/>
  <c r="K126"/>
  <c r="O125"/>
  <c r="K125"/>
  <c r="O124"/>
  <c r="K124"/>
  <c r="O123"/>
  <c r="K123"/>
  <c r="O122"/>
  <c r="K122"/>
  <c r="O121"/>
  <c r="K121"/>
  <c r="O120"/>
  <c r="K120"/>
  <c r="O119"/>
  <c r="K119"/>
  <c r="O118"/>
  <c r="K118"/>
  <c r="O117"/>
  <c r="K117"/>
  <c r="O116"/>
  <c r="K116"/>
  <c r="O115"/>
  <c r="K115"/>
  <c r="O114"/>
  <c r="K114"/>
  <c r="O113"/>
  <c r="K113"/>
  <c r="O112"/>
  <c r="K112"/>
  <c r="O111"/>
  <c r="K111"/>
  <c r="O110"/>
  <c r="K110"/>
  <c r="O109"/>
  <c r="K109"/>
  <c r="O108"/>
  <c r="K108"/>
  <c r="O107"/>
  <c r="K107"/>
  <c r="O105"/>
  <c r="K105"/>
  <c r="O104"/>
  <c r="K104"/>
  <c r="O103"/>
  <c r="K103"/>
  <c r="O102"/>
  <c r="K102"/>
  <c r="O101"/>
  <c r="K101"/>
  <c r="O100"/>
  <c r="K100"/>
  <c r="O99"/>
  <c r="K99"/>
  <c r="K98"/>
  <c r="K97"/>
  <c r="O96"/>
  <c r="K96"/>
  <c r="O95"/>
  <c r="K95"/>
  <c r="K94"/>
  <c r="O93"/>
  <c r="K93"/>
  <c r="O92"/>
  <c r="K92"/>
  <c r="O91"/>
  <c r="K91"/>
  <c r="O90"/>
  <c r="K90"/>
  <c r="O89"/>
  <c r="K89"/>
  <c r="O88"/>
  <c r="K88"/>
  <c r="O87"/>
  <c r="K87"/>
  <c r="O86"/>
  <c r="K86"/>
  <c r="O85"/>
  <c r="K85"/>
  <c r="O84"/>
  <c r="K84"/>
  <c r="O83"/>
  <c r="K83"/>
  <c r="O82"/>
  <c r="K82"/>
  <c r="O81"/>
  <c r="K81"/>
  <c r="O80"/>
  <c r="K80"/>
  <c r="O79"/>
  <c r="K79"/>
  <c r="O78"/>
  <c r="K78"/>
  <c r="O77"/>
  <c r="K77"/>
  <c r="O76"/>
  <c r="K76"/>
  <c r="O75"/>
  <c r="K75"/>
  <c r="O74"/>
  <c r="K74"/>
  <c r="O73"/>
  <c r="K73"/>
  <c r="O72"/>
  <c r="K72"/>
  <c r="O71"/>
  <c r="K71"/>
  <c r="O70"/>
  <c r="K70"/>
  <c r="O69"/>
  <c r="K69"/>
  <c r="O68"/>
  <c r="K68"/>
  <c r="O67"/>
  <c r="K67"/>
  <c r="O66"/>
  <c r="K66"/>
  <c r="O65"/>
  <c r="K65"/>
  <c r="O64"/>
  <c r="K64"/>
  <c r="O63"/>
  <c r="K63"/>
  <c r="O62"/>
  <c r="K62"/>
  <c r="O61"/>
  <c r="K61"/>
  <c r="O60"/>
  <c r="K60"/>
  <c r="O59"/>
  <c r="K59"/>
  <c r="O58"/>
  <c r="K58"/>
  <c r="O57"/>
  <c r="K57"/>
  <c r="O56"/>
  <c r="K56"/>
  <c r="O55"/>
  <c r="K55"/>
  <c r="O54"/>
  <c r="K54"/>
  <c r="O53"/>
  <c r="K53"/>
  <c r="O52"/>
  <c r="K52"/>
  <c r="O51"/>
  <c r="K51"/>
  <c r="O50"/>
  <c r="K50"/>
  <c r="O49"/>
  <c r="K49"/>
  <c r="O48"/>
  <c r="K48"/>
  <c r="O47"/>
  <c r="K47"/>
  <c r="O46"/>
  <c r="K46"/>
  <c r="O45"/>
  <c r="K45"/>
  <c r="O44"/>
  <c r="K44"/>
  <c r="O43"/>
  <c r="K43"/>
  <c r="O42"/>
  <c r="K42"/>
  <c r="O41"/>
  <c r="K41"/>
  <c r="O40"/>
  <c r="K40"/>
  <c r="O39"/>
  <c r="K39"/>
  <c r="O38"/>
  <c r="K38"/>
  <c r="O37"/>
  <c r="K37"/>
  <c r="O36"/>
  <c r="K36"/>
  <c r="O35"/>
  <c r="K35"/>
  <c r="O34"/>
  <c r="K34"/>
  <c r="O33"/>
  <c r="K33"/>
  <c r="O32"/>
  <c r="K32"/>
  <c r="O31"/>
  <c r="K31"/>
  <c r="O30"/>
  <c r="K30"/>
  <c r="O29"/>
  <c r="K29"/>
  <c r="O27"/>
  <c r="K27"/>
  <c r="O26"/>
  <c r="K26"/>
  <c r="O25"/>
  <c r="K25"/>
  <c r="O24"/>
  <c r="K24"/>
  <c r="O23"/>
  <c r="K23"/>
  <c r="O22"/>
  <c r="K22"/>
  <c r="O21"/>
  <c r="K21"/>
  <c r="O20"/>
  <c r="K20"/>
  <c r="O19"/>
  <c r="K19"/>
  <c r="O18"/>
  <c r="K18"/>
  <c r="O17"/>
  <c r="K17"/>
  <c r="O16"/>
  <c r="K16"/>
  <c r="O15"/>
  <c r="K15"/>
  <c r="O14"/>
  <c r="K14"/>
  <c r="O13"/>
  <c r="K13"/>
  <c r="O12"/>
  <c r="L168"/>
  <c r="K12"/>
  <c r="O11"/>
  <c r="K11"/>
  <c r="P168"/>
  <c r="O10"/>
  <c r="K10"/>
  <c r="B9"/>
  <c r="C9" s="1"/>
  <c r="D9" s="1"/>
  <c r="E9" s="1"/>
  <c r="F9" s="1"/>
  <c r="G9" s="1"/>
  <c r="H9" s="1"/>
  <c r="I9" s="1"/>
  <c r="J9" s="1"/>
  <c r="K9" s="1"/>
  <c r="L9" s="1"/>
  <c r="M9" s="1"/>
  <c r="N9" s="1"/>
  <c r="O9" s="1"/>
  <c r="P9" s="1"/>
  <c r="Q9" s="1"/>
  <c r="K168" l="1"/>
  <c r="O168"/>
  <c r="Q200" i="69"/>
  <c r="O148"/>
  <c r="O200" s="1"/>
</calcChain>
</file>

<file path=xl/sharedStrings.xml><?xml version="1.0" encoding="utf-8"?>
<sst xmlns="http://schemas.openxmlformats.org/spreadsheetml/2006/main" count="51629" uniqueCount="498">
  <si>
    <t>№</t>
  </si>
  <si>
    <t>Організаційна форма адвокатської діяльності (ІНД, АБ, АО)</t>
  </si>
  <si>
    <t>Населений пункт, де знаходиться робоче місце адвоката (за ЄРАУ)</t>
  </si>
  <si>
    <t>Назва адвокатського бюро чи адвокатського об'єднання</t>
  </si>
  <si>
    <t>ПІБ адвокатів, з якими центрами з надання БВПД (було) укладено контракт / договір</t>
  </si>
  <si>
    <t>Назва центру з надання БВПД, з яким адвокатом (було) укладено контракт / договір (скорочено)</t>
  </si>
  <si>
    <t>Реквізити контракту / договору (дата укладання, №)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</si>
  <si>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</si>
  <si>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</si>
  <si>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</si>
  <si>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І. Інформація про адвоката, який надає БВПД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</si>
  <si>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</si>
  <si>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</si>
  <si>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</si>
  <si>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(назва регіонального центру з надання БВПД, яким підготовано інформацію)</t>
  </si>
  <si>
    <t>Регіональний центр з надання безоплатної вторинної правової допомоги у Херсонській області</t>
  </si>
  <si>
    <t xml:space="preserve"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13 січня 2017 року № 121)
</t>
  </si>
  <si>
    <t>Андруневич Віктор Миколайович</t>
  </si>
  <si>
    <t>індивідуальна</t>
  </si>
  <si>
    <t>м. Херсон</t>
  </si>
  <si>
    <t xml:space="preserve">Аносов Юрій Валентинович </t>
  </si>
  <si>
    <t>смт В. Лепетиха</t>
  </si>
  <si>
    <t xml:space="preserve">Антипенко Віктор Павлович </t>
  </si>
  <si>
    <t>Антонович Наталія Анатоліївна</t>
  </si>
  <si>
    <t>м. Цюрупинськ</t>
  </si>
  <si>
    <t>Бібік Артем Віталійович</t>
  </si>
  <si>
    <t xml:space="preserve">Бітюра Анатолій Анатолійович </t>
  </si>
  <si>
    <t>м. Таврійськ</t>
  </si>
  <si>
    <t>Блонський Денис Миколайович</t>
  </si>
  <si>
    <t xml:space="preserve">Болтушенко Дмитро Володимирович </t>
  </si>
  <si>
    <t>АБ</t>
  </si>
  <si>
    <t>Дмитро Болтушенко і партнери</t>
  </si>
  <si>
    <t xml:space="preserve">смт Білозерка </t>
  </si>
  <si>
    <t xml:space="preserve">Бондар Володимир Борисович </t>
  </si>
  <si>
    <t>м. Генічеськ</t>
  </si>
  <si>
    <t>Бордун Вікторія Олександрівна</t>
  </si>
  <si>
    <t>м. Нова Каховка</t>
  </si>
  <si>
    <t>Бурлай Дмитро Валерійович</t>
  </si>
  <si>
    <t>смт Нововоронцовка</t>
  </si>
  <si>
    <t xml:space="preserve">Васильєва Маргарита Володимирівна </t>
  </si>
  <si>
    <t>Вознюк Галина Миколаївна</t>
  </si>
  <si>
    <t>м. Каховка</t>
  </si>
  <si>
    <t>Вознюк Олександр Віталійович</t>
  </si>
  <si>
    <t>Гагуліна Олена Миколаївна</t>
  </si>
  <si>
    <t xml:space="preserve">Галига Олександр Володимирович </t>
  </si>
  <si>
    <t>смт Високопілля</t>
  </si>
  <si>
    <t xml:space="preserve">Голубцов Анатолій Геннадійович </t>
  </si>
  <si>
    <t xml:space="preserve">Гончаров Михайло Васильович </t>
  </si>
  <si>
    <t xml:space="preserve">Горішній Олег Олександрович </t>
  </si>
  <si>
    <t xml:space="preserve">Горощенко Любов Володимирівна </t>
  </si>
  <si>
    <t>м. Берислав</t>
  </si>
  <si>
    <t xml:space="preserve">Дубейко Сергій Миколайович </t>
  </si>
  <si>
    <t>АО</t>
  </si>
  <si>
    <t xml:space="preserve">Херсонська колегія адвокатів </t>
  </si>
  <si>
    <t>Дубков Василь Іванович</t>
  </si>
  <si>
    <t>Дубков Іван Степанович</t>
  </si>
  <si>
    <t>Дяченко Ярослав Миколайович</t>
  </si>
  <si>
    <t>АО "МІМІР"</t>
  </si>
  <si>
    <t xml:space="preserve">Жукова Людмила Федорівна </t>
  </si>
  <si>
    <t xml:space="preserve">Зайцев Микола Павлович </t>
  </si>
  <si>
    <t>смт Новотроїцьке</t>
  </si>
  <si>
    <t>Зварич Євгеній Григорович</t>
  </si>
  <si>
    <t xml:space="preserve">Іванов Сергій Сергійович </t>
  </si>
  <si>
    <t>Калімбет Тетяна Адамівна</t>
  </si>
  <si>
    <t>Карпенко Деніс Ленонідович</t>
  </si>
  <si>
    <t>Коваленко Володимир Федорович</t>
  </si>
  <si>
    <t>cмт Ніжні Сірогози</t>
  </si>
  <si>
    <t>Ковальова Ірина Василівна</t>
  </si>
  <si>
    <t>Колосов Микола Анатолійович</t>
  </si>
  <si>
    <t xml:space="preserve">Кривоносов Ігор Володимирович </t>
  </si>
  <si>
    <t>Кудрик Андрій Іванович</t>
  </si>
  <si>
    <t xml:space="preserve">Кузнецов Геннадій Іванович </t>
  </si>
  <si>
    <t xml:space="preserve">Кузнецова Олена Геннадіївна </t>
  </si>
  <si>
    <t>Кузьменко Олексій Анатолійович</t>
  </si>
  <si>
    <t>Купчак Сергій Богданович</t>
  </si>
  <si>
    <t xml:space="preserve">Кушнеренко Тамара Валеріївна </t>
  </si>
  <si>
    <t>смт Каланчак</t>
  </si>
  <si>
    <t>м. Скадовськ</t>
  </si>
  <si>
    <t>Мальцев Яків Михайлович</t>
  </si>
  <si>
    <t xml:space="preserve">Марухненко Ірина Петрівна </t>
  </si>
  <si>
    <t>Марченков Іван Іванович</t>
  </si>
  <si>
    <t>Морозенко Олена Георгіївна</t>
  </si>
  <si>
    <t>Назаров Сергій Олександрович</t>
  </si>
  <si>
    <t>Нікітін Руслан Валерійович</t>
  </si>
  <si>
    <t>Остапенко Андрій Васильович</t>
  </si>
  <si>
    <t xml:space="preserve">Охлопков Іван Олександрович </t>
  </si>
  <si>
    <t xml:space="preserve">Охлопков Олександр Іванович </t>
  </si>
  <si>
    <t>Панчук Микола Олексійович</t>
  </si>
  <si>
    <t>Суворовск.юрид.консульт.м.Херсона</t>
  </si>
  <si>
    <t>Панчук Наталія Валеріївна</t>
  </si>
  <si>
    <t>Пацалова Тамара Валеріївна</t>
  </si>
  <si>
    <t>Пестрецова Римма Геннадіївна</t>
  </si>
  <si>
    <t>смт Нижні Сірогози</t>
  </si>
  <si>
    <t>Петренко Катерина Дмитрівна</t>
  </si>
  <si>
    <t xml:space="preserve">Петренко Тарас Володимирович </t>
  </si>
  <si>
    <t>смт В.Олександрівка</t>
  </si>
  <si>
    <t>Петряєв Володимир Вікторович</t>
  </si>
  <si>
    <t>Подшибякін Ян Євгенович</t>
  </si>
  <si>
    <t>Попович Анатолій Володимирович</t>
  </si>
  <si>
    <t>Протасов Євгеній Васильович</t>
  </si>
  <si>
    <t xml:space="preserve">Проценко Микола Вікторович </t>
  </si>
  <si>
    <t>Адвокатське бюро "Проценко"</t>
  </si>
  <si>
    <t xml:space="preserve">Рєбров Єгор Сергійович </t>
  </si>
  <si>
    <t>Риженко Денис Олегович</t>
  </si>
  <si>
    <t>м.Херсон</t>
  </si>
  <si>
    <t>Соколовський Сергій Анатолійович</t>
  </si>
  <si>
    <t>"Адвокатське бюро Сергея Соколовського"</t>
  </si>
  <si>
    <t>Стукан Юлія Олегівна</t>
  </si>
  <si>
    <t>Твердохлеб Олена Валеріївна</t>
  </si>
  <si>
    <t>Токаленко Валентина Михайлівна</t>
  </si>
  <si>
    <t>Юрид.конс.Комсом.району м.Херсон</t>
  </si>
  <si>
    <t>Токарєва Інна Віталіївна</t>
  </si>
  <si>
    <t>м.Генічеськ</t>
  </si>
  <si>
    <t>Фінкевич Володимир Григорович</t>
  </si>
  <si>
    <t xml:space="preserve">Форощук Людмила Анатоліївна </t>
  </si>
  <si>
    <t>Хащініна Галина Олександрівна</t>
  </si>
  <si>
    <t xml:space="preserve">Шадманов Камілжан Шейфутдинович </t>
  </si>
  <si>
    <t>Юрид.конс.Комсом.району  м.Херсон</t>
  </si>
  <si>
    <t>Шилін Євген Юрійович</t>
  </si>
  <si>
    <t>Щеглов Дмитро Сергійович</t>
  </si>
  <si>
    <t xml:space="preserve">№ від </t>
  </si>
  <si>
    <t>РЦ з НБВПД у Херсон. Обл.</t>
  </si>
  <si>
    <t>Херсонський МЦ з НБВПД</t>
  </si>
  <si>
    <t>№ від</t>
  </si>
  <si>
    <t>Бериславський МЦ з НБВПД</t>
  </si>
  <si>
    <t>Бітюра Анатолій Анатолійович</t>
  </si>
  <si>
    <t>Галига Олександр Володимирович</t>
  </si>
  <si>
    <t>Краснова Ірина Володимирівна</t>
  </si>
  <si>
    <t>Петренко Тарас Володимирович</t>
  </si>
  <si>
    <t>м. Цюрупинськ, м. Гола Пристань</t>
  </si>
  <si>
    <t xml:space="preserve">№ 1 від </t>
  </si>
  <si>
    <t>Голопристанський МЦ з НБВПД</t>
  </si>
  <si>
    <t>м. Херсон, м. Гола Пристань</t>
  </si>
  <si>
    <t>м. Скадовськ, смт. Каланчак</t>
  </si>
  <si>
    <t xml:space="preserve">м. Скадовськ, </t>
  </si>
  <si>
    <t>Аносов Юрій Валентинович</t>
  </si>
  <si>
    <t>Каховський МЦ з НБВПД</t>
  </si>
  <si>
    <t>Антипенко Віктор Павлович</t>
  </si>
  <si>
    <t>Гринечко Сергій Богданович</t>
  </si>
  <si>
    <t>Зайцев Микола Павлович</t>
  </si>
  <si>
    <t>Кушнеренко Тамара Валеріївна</t>
  </si>
  <si>
    <t>Форощук Людмила Анатоліївна</t>
  </si>
  <si>
    <t>РЦ з НБВПД у Херсон. обл.</t>
  </si>
  <si>
    <t>№ 10 від 24.02.2016</t>
  </si>
  <si>
    <t>Радінович Володимир Ігорович</t>
  </si>
  <si>
    <t xml:space="preserve">            Всього видано доручень</t>
  </si>
  <si>
    <t>Тільненко Владислав Володимирович</t>
  </si>
  <si>
    <t>Груша Марина Дмитрівна</t>
  </si>
  <si>
    <t>№ 1 від 23.03.2017</t>
  </si>
  <si>
    <t xml:space="preserve">№ 4 від 23.03.2017 </t>
  </si>
  <si>
    <t xml:space="preserve">№ 5 від 23.03.2017 </t>
  </si>
  <si>
    <t xml:space="preserve">№ 6 від 23.03.2017 </t>
  </si>
  <si>
    <t xml:space="preserve">№ 7 від 23.03.2017 </t>
  </si>
  <si>
    <t xml:space="preserve">№ 8 від 23.03.2017 </t>
  </si>
  <si>
    <t xml:space="preserve">№ 9 від 23.03.2017 </t>
  </si>
  <si>
    <t xml:space="preserve">№ 10 від 23.03.2017 </t>
  </si>
  <si>
    <t xml:space="preserve">№ 11 від 23.03.2017 </t>
  </si>
  <si>
    <t xml:space="preserve">№ 12 від 23.03.2017 </t>
  </si>
  <si>
    <t xml:space="preserve">№ 13 від 23.03.2017 </t>
  </si>
  <si>
    <t>№ 14 від 23.03.2017</t>
  </si>
  <si>
    <t xml:space="preserve">№ 15 від 23.03.2017 </t>
  </si>
  <si>
    <t xml:space="preserve">№ 16 від 23.03.2017 </t>
  </si>
  <si>
    <t>№ 17 від 23.03.2017</t>
  </si>
  <si>
    <t xml:space="preserve">№ 18 від 23.03.2017 </t>
  </si>
  <si>
    <t xml:space="preserve">№ 20 від 23.03.2017 </t>
  </si>
  <si>
    <t xml:space="preserve">№ 21 від 23.03.2017 </t>
  </si>
  <si>
    <t xml:space="preserve">№ 22 від 23.03.2017 </t>
  </si>
  <si>
    <t>№ 23 від 23.03.2017</t>
  </si>
  <si>
    <t>№ 24 від 23.03.2017</t>
  </si>
  <si>
    <t>№ 25 від 23.03.2017</t>
  </si>
  <si>
    <t>№ 26 від 23.03.2017</t>
  </si>
  <si>
    <t>№ 27 від 23.03.2017</t>
  </si>
  <si>
    <t xml:space="preserve">№ 28 від 23.03.2017 </t>
  </si>
  <si>
    <t xml:space="preserve">№ 29 від 23.03.2017 </t>
  </si>
  <si>
    <t>№ 30 від 23.03.2017</t>
  </si>
  <si>
    <t>№ 31 від 23.03.2017</t>
  </si>
  <si>
    <t>№ 33 від 23.03.2017</t>
  </si>
  <si>
    <t>№ 34 від 23.03.2017</t>
  </si>
  <si>
    <t>№ 35 від 23.03.2017</t>
  </si>
  <si>
    <t xml:space="preserve">№ 37 від 23.03.2017 </t>
  </si>
  <si>
    <t>№ 38 від 23.03.2017</t>
  </si>
  <si>
    <t>№ 39 від 23.03.2017</t>
  </si>
  <si>
    <t>№ 41 від 23.03.2017</t>
  </si>
  <si>
    <t>№ 42 від 23.03.2017</t>
  </si>
  <si>
    <t>Нікітін і партнери</t>
  </si>
  <si>
    <t>№ 43 від 23.03.2017</t>
  </si>
  <si>
    <t>№ 44 від 23.03.2017</t>
  </si>
  <si>
    <t>№ 45 від 23.03.2017</t>
  </si>
  <si>
    <t>№ 46 від 23.03.2017</t>
  </si>
  <si>
    <t>№ 47 від 23.03.2017</t>
  </si>
  <si>
    <t>№ 48 від 23.03.2017</t>
  </si>
  <si>
    <t>№ 49 від 23.03.2017</t>
  </si>
  <si>
    <t>№ 50 від 23.03.2017</t>
  </si>
  <si>
    <t>№ 51 від 23.03.2017</t>
  </si>
  <si>
    <t>№ 52 від 23.03.2017</t>
  </si>
  <si>
    <t>№ 53 від 23.03.2017</t>
  </si>
  <si>
    <t>№ 54 від 23.03.2017</t>
  </si>
  <si>
    <t>№ 55 від 23.03.2017</t>
  </si>
  <si>
    <t>№ 56 від 23.03.2017</t>
  </si>
  <si>
    <t>№ 45 від 27.03.14</t>
  </si>
  <si>
    <t>№ 57 від 23.03.2017</t>
  </si>
  <si>
    <t xml:space="preserve">№ 58 від 23.03.2017 </t>
  </si>
  <si>
    <t>№ 59 від 23.03.2017</t>
  </si>
  <si>
    <t>№ 60 від 23.03.2017</t>
  </si>
  <si>
    <t>№ 61 від 23.03.2017</t>
  </si>
  <si>
    <t>№ 62 від 23.03.2017</t>
  </si>
  <si>
    <t>№ 64 від 23.03.2017</t>
  </si>
  <si>
    <t>№ 65 від 23.03.2017</t>
  </si>
  <si>
    <t>№ 66 від 23.03.2017</t>
  </si>
  <si>
    <t>Швець Аркадій Іванович</t>
  </si>
  <si>
    <t>Голопристанвський МЦ з НБВПД</t>
  </si>
  <si>
    <t>№ 9 від 29.03.2017</t>
  </si>
  <si>
    <t>№ 8 від 29.03.2017</t>
  </si>
  <si>
    <t>№ 6 від 29.03.2017</t>
  </si>
  <si>
    <t>№ 1 від 24.03.2017</t>
  </si>
  <si>
    <t>№ 2 від 29.03.2017</t>
  </si>
  <si>
    <t>№ 4 від 29.03.2017</t>
  </si>
  <si>
    <t>№ 5 від 29.03.2017</t>
  </si>
  <si>
    <t>№ 7 від 29.03.2017</t>
  </si>
  <si>
    <t>№ 3 від 29.03.2017</t>
  </si>
  <si>
    <t xml:space="preserve">№6/ХМЦ  від 27.03.17 </t>
  </si>
  <si>
    <t>№ 5/ХМЦ від 23.03.17</t>
  </si>
  <si>
    <t>№ 7/ХМЦ  від 27.03.17</t>
  </si>
  <si>
    <t>№ 8/ХМЦ від 24.03.17</t>
  </si>
  <si>
    <t xml:space="preserve">№ 2/ХМЦ від 23.03.17 </t>
  </si>
  <si>
    <t>№ 1/ХМЦ від 23.03.17</t>
  </si>
  <si>
    <t>№4/ХМЦ від 23.03.17</t>
  </si>
  <si>
    <t>№ 9/ХМЦ від 27.03.17</t>
  </si>
  <si>
    <t>№ 3/ХМЦ від 23.03.17</t>
  </si>
  <si>
    <t>№ 11 від 03.04.2017</t>
  </si>
  <si>
    <t>№ 12 від 05.04.2017</t>
  </si>
  <si>
    <t>№ 10 від 03.04.2017</t>
  </si>
  <si>
    <t>№12 ХМЦ від 06.04.17</t>
  </si>
  <si>
    <t>№14 ХМЦ  від 07.04.17</t>
  </si>
  <si>
    <t>№ 11 ХМЦ від 03.04.17</t>
  </si>
  <si>
    <t>№ 13 ХМЦ від 06.04.17</t>
  </si>
  <si>
    <t>№  2 від 06.04.2017</t>
  </si>
  <si>
    <t>№  1 від 06.04.2017</t>
  </si>
  <si>
    <t>Клецько Юрій Семенович</t>
  </si>
  <si>
    <t>№ 32 від 13.04.2017</t>
  </si>
  <si>
    <t>№ 2 від 13.04.2017</t>
  </si>
  <si>
    <t xml:space="preserve">№ 3 від 13.04.2017 </t>
  </si>
  <si>
    <t>№ 63 від  13.04.2017</t>
  </si>
  <si>
    <t xml:space="preserve">№  40 від 13.04.2017 </t>
  </si>
  <si>
    <t>№ 19 від 13.04.2017</t>
  </si>
  <si>
    <t>№ 13 від 12.04.2017</t>
  </si>
  <si>
    <t>№14 від 12.04.2017</t>
  </si>
  <si>
    <t>№4 від 13.04.2017</t>
  </si>
  <si>
    <t>№ 3 від 10.04.2017</t>
  </si>
  <si>
    <t>№ 3 від 13.04.2017</t>
  </si>
  <si>
    <t>№ 4 від 13.04.2017</t>
  </si>
  <si>
    <t>№ 5 від 13.04.2017</t>
  </si>
  <si>
    <t>№ 6 від  13.04.2017</t>
  </si>
  <si>
    <t>№ 1 від 13.04.2017</t>
  </si>
  <si>
    <t>№ 7 від 13.04.2017</t>
  </si>
  <si>
    <t>№  5 від 14.04.2017</t>
  </si>
  <si>
    <t>№ 15 від 21.04.2017</t>
  </si>
  <si>
    <t>№ 7 від 21.04.2017</t>
  </si>
  <si>
    <t>№  6 від 21.04.2017</t>
  </si>
  <si>
    <t>№  8 від 24.04.2017</t>
  </si>
  <si>
    <t xml:space="preserve">№ 15/ХМЦ  від 21.04.17 </t>
  </si>
  <si>
    <t>№ 18/ХМЦ від 25.04.17</t>
  </si>
  <si>
    <t>№16/ХМЦ від 21.04.17</t>
  </si>
  <si>
    <t>№ 17/ХМЦ від 21.04.17</t>
  </si>
  <si>
    <t xml:space="preserve">№ 36 від 27.04.2017 </t>
  </si>
  <si>
    <t>Станчук Андрій Юрійович</t>
  </si>
  <si>
    <t>№20 ХМЦ від 12.05.2017</t>
  </si>
  <si>
    <t>Лагода Анатолій Анатолійович</t>
  </si>
  <si>
    <t>№  від</t>
  </si>
  <si>
    <t>№ 21/ХМЦ від 22.05.2017</t>
  </si>
  <si>
    <t>№ 19/ХМЦ від 04.05.2017</t>
  </si>
  <si>
    <t>№ 8 від 20.06.2017</t>
  </si>
  <si>
    <t>№ 23/ХМЦ від 07.07.2017</t>
  </si>
  <si>
    <t>№ 22/ХМЦ від 03.07.2017</t>
  </si>
  <si>
    <t>Бакарасєва Ірина Олегівна</t>
  </si>
  <si>
    <t xml:space="preserve">№     від                  </t>
  </si>
  <si>
    <t xml:space="preserve"> </t>
  </si>
  <si>
    <t>№        від</t>
  </si>
  <si>
    <t>№       від</t>
  </si>
  <si>
    <t>№ 68 від 20.10.2017</t>
  </si>
  <si>
    <t>м. Херсон, Гола Прист. р-ни</t>
  </si>
  <si>
    <t>Петренко Ксенія Олександрівна</t>
  </si>
  <si>
    <t>№ 27/ХМЦ від 20.09.17</t>
  </si>
  <si>
    <t>№ 29/ХМЦ  від 26.09.2017</t>
  </si>
  <si>
    <t>№25/ХМЦ від 05.09.2017</t>
  </si>
  <si>
    <t xml:space="preserve">№    від  </t>
  </si>
  <si>
    <t>№ 16 від</t>
  </si>
  <si>
    <t>Володимир Бондар і партнери</t>
  </si>
  <si>
    <t>ІІ. Інформація за дорученнями, виданими у 2018 році</t>
  </si>
  <si>
    <r>
      <t xml:space="preserve">Оперативна інформація щодо видання доручень центрами з надання БВПД, оплати послуг та відшкодування витрат адвокатів, які надають БВПД, </t>
    </r>
    <r>
      <rPr>
        <b/>
        <u/>
        <sz val="11"/>
        <color rgb="FF000000"/>
        <rFont val="Calibri"/>
        <family val="2"/>
        <charset val="204"/>
      </rPr>
      <t>у 2018 році</t>
    </r>
  </si>
  <si>
    <t>ІІІ. Інформація за дорученнями, виданими у попередніх бюджетних періодах (включаючи ті, за якими станом на 01.01.2018 р. зареєстровано кредиторську заборгованість)</t>
  </si>
  <si>
    <t>№від</t>
  </si>
  <si>
    <t xml:space="preserve">№  від </t>
  </si>
  <si>
    <t xml:space="preserve">№ від  </t>
  </si>
  <si>
    <t xml:space="preserve">№   від </t>
  </si>
  <si>
    <t xml:space="preserve">№від </t>
  </si>
  <si>
    <t xml:space="preserve">№20  від </t>
  </si>
  <si>
    <t>№ 1 від</t>
  </si>
  <si>
    <t>№   від</t>
  </si>
  <si>
    <t xml:space="preserve">№ ід </t>
  </si>
  <si>
    <t>м. Олешки</t>
  </si>
  <si>
    <t xml:space="preserve">м. Скадовськ </t>
  </si>
  <si>
    <t>Ромаданова Тетяна Вікторівна</t>
  </si>
  <si>
    <t>Овчаренко  Олександр Іванович</t>
  </si>
  <si>
    <t>м. Гола Пристань</t>
  </si>
  <si>
    <t>ін\</t>
  </si>
  <si>
    <t>Лебєдєва Тетяна Олександрівна</t>
  </si>
  <si>
    <t>Адвокатське бюро "Адвокатська контора Т.Лебєдєвої"</t>
  </si>
  <si>
    <t>№ 3-18 від 09.02.2018</t>
  </si>
  <si>
    <t>Хазов Юрій Сергійович</t>
  </si>
  <si>
    <t>№ 2-18 від 09.02.2018</t>
  </si>
  <si>
    <t>№ 1-18 від 09.02.2018</t>
  </si>
  <si>
    <t>Кушнеренко Ігор Вікторович</t>
  </si>
  <si>
    <t>Мироненко Володимир Вячеславович</t>
  </si>
  <si>
    <t>Сидоренко Наталя Олександрівна</t>
  </si>
  <si>
    <t>Срібний Павло Миколайович</t>
  </si>
  <si>
    <t>Гора Ольга Сергіївна</t>
  </si>
  <si>
    <t>№ 1 від 08.02.2018</t>
  </si>
  <si>
    <t>№ 3 від 08.02.2018</t>
  </si>
  <si>
    <t>№ 4 від 08.02.2018</t>
  </si>
  <si>
    <t>Грицак Оксана Сергіївна</t>
  </si>
  <si>
    <t>№ 9 від 08.02.2018</t>
  </si>
  <si>
    <t>смт. Високопілля</t>
  </si>
  <si>
    <t>№ 5 від 08.02.2018</t>
  </si>
  <si>
    <t>№7 від 08.02.2018</t>
  </si>
  <si>
    <t>Ярова Світлана Вікторівна</t>
  </si>
  <si>
    <t>№ 10 від 08.02.2018</t>
  </si>
  <si>
    <t>№ 6-18 від</t>
  </si>
  <si>
    <t>Сапіга Віталій Вікторович</t>
  </si>
  <si>
    <t>№ 5-18 від</t>
  </si>
  <si>
    <t>Сисак Світлана Петрівна</t>
  </si>
  <si>
    <t>№ 4-18 від</t>
  </si>
  <si>
    <t>Доготер Оксана Георгіївна</t>
  </si>
  <si>
    <t>Заремба Максим Володимирович</t>
  </si>
  <si>
    <t>Адвокатське бюро</t>
  </si>
  <si>
    <t>№ 1 від 20.02.2018</t>
  </si>
  <si>
    <t>№ 7 від 20.02.2018</t>
  </si>
  <si>
    <t>№ 2 від 20.02.2018</t>
  </si>
  <si>
    <t>№ 5 від 20.02.2018</t>
  </si>
  <si>
    <t>№ 4 від 20.02.2018</t>
  </si>
  <si>
    <t>№ 3 від 20.02.2018</t>
  </si>
  <si>
    <t xml:space="preserve">№ 6 від 20.02.2018 </t>
  </si>
  <si>
    <t>№ 8 від 20.02.2018</t>
  </si>
  <si>
    <t>№ 2-18 від 22.02.2018</t>
  </si>
  <si>
    <t>№ 7-18 від 22.02.2018</t>
  </si>
  <si>
    <t>№ 10-18 від 22.02.2018</t>
  </si>
  <si>
    <t>№ 4-18 від 22.02.2018</t>
  </si>
  <si>
    <t>№ 5-18 від 22.02.2018</t>
  </si>
  <si>
    <t>№ 1-18 від 22.02.2018</t>
  </si>
  <si>
    <t>№ 13-18 від 22.02.2018</t>
  </si>
  <si>
    <t>№ 3-18 від 22.02.2018</t>
  </si>
  <si>
    <t>№ 11-18 від 22.02.2018</t>
  </si>
  <si>
    <t>№ 9-18 від 22.02.2018</t>
  </si>
  <si>
    <t>№ 6-18 від 22.02.2018</t>
  </si>
  <si>
    <t>№ 12-18 від 22.02.2018</t>
  </si>
  <si>
    <t>№ 8-18 від 22.02.2018</t>
  </si>
  <si>
    <t>№ 6  від 19.02.2018</t>
  </si>
  <si>
    <t>№ 4 від 19.02.2018</t>
  </si>
  <si>
    <t>№11 від 19.02.2018</t>
  </si>
  <si>
    <t>№ 2  від 19.02.2018</t>
  </si>
  <si>
    <t xml:space="preserve">№ 9 від 19.02.2018 </t>
  </si>
  <si>
    <t>№ 7  від 19.02.2018</t>
  </si>
  <si>
    <t>№10 від 19.02.2018</t>
  </si>
  <si>
    <t>№ 3  від 19.02.2018</t>
  </si>
  <si>
    <t>№ 1  від 19.02.2018</t>
  </si>
  <si>
    <t>№  5 від 19.02.2018</t>
  </si>
  <si>
    <t>№13 від 19.02.2018</t>
  </si>
  <si>
    <t>№14 від 19.02.2018</t>
  </si>
  <si>
    <t xml:space="preserve">№ 8  від 19.02.2018 </t>
  </si>
  <si>
    <t>№ 10 від 08.02.2017</t>
  </si>
  <si>
    <t>м.Нова-Каховка</t>
  </si>
  <si>
    <t>№12 від 19.02.2018 р.</t>
  </si>
  <si>
    <t>Мельник Дмитро Георгійович</t>
  </si>
  <si>
    <t>Мокін Ігор Сергійович</t>
  </si>
  <si>
    <t>№ 2від 26.02.2018</t>
  </si>
  <si>
    <t>№ 6 від 26.02.2018</t>
  </si>
  <si>
    <t>№ 14-18 від 27.02.18</t>
  </si>
  <si>
    <t xml:space="preserve">№  5 від 19.02.2018 </t>
  </si>
  <si>
    <t>Мокін та Діаментович</t>
  </si>
  <si>
    <t>Діяментович Дмитро Геннадійович</t>
  </si>
  <si>
    <t>№      від</t>
  </si>
  <si>
    <t>№ 1 від 05.03.2018</t>
  </si>
  <si>
    <t>№ 2 від 05.03.2018</t>
  </si>
  <si>
    <t>№ 3 від 05.03.2018</t>
  </si>
  <si>
    <t>№ 4 від 05.03.2018</t>
  </si>
  <si>
    <t>№ 5 від 05.03.2018</t>
  </si>
  <si>
    <t>№ 6 від 05.03.2018</t>
  </si>
  <si>
    <t>№ 7 від 05.03.2018</t>
  </si>
  <si>
    <t>№ 8 від 05.03.2018</t>
  </si>
  <si>
    <t>№ 9 від 05.03.2018</t>
  </si>
  <si>
    <t>№ 10 від 05.03.2018</t>
  </si>
  <si>
    <t>№ 11 від 05.03.2018</t>
  </si>
  <si>
    <t>№ 12 від 05.03.2018</t>
  </si>
  <si>
    <t>№ 13 від 05.03.2018</t>
  </si>
  <si>
    <t>№ 14 від 05.03.2018</t>
  </si>
  <si>
    <t>№ 15 від 05.03.2018</t>
  </si>
  <si>
    <t>№ 16 від 05.03.2018</t>
  </si>
  <si>
    <t>№ 17 від 05.03.2018</t>
  </si>
  <si>
    <t>№ 18 від 05.03.2018</t>
  </si>
  <si>
    <t>№ 19 від 05.03.2018</t>
  </si>
  <si>
    <t>№ 20 від 05.03.2018</t>
  </si>
  <si>
    <t>№ 21 від 05.03.2018</t>
  </si>
  <si>
    <t>№ 22 від 05.03.2018</t>
  </si>
  <si>
    <t>№ 23 від 05.03.2018</t>
  </si>
  <si>
    <t>№ 24 від 05.03.2018</t>
  </si>
  <si>
    <t>№ 25 від 05.03.2018</t>
  </si>
  <si>
    <t>№ 26 від 05.03.2018</t>
  </si>
  <si>
    <t>№ 27 від 05.03.2018</t>
  </si>
  <si>
    <t>№ 28 від 05.03.2018</t>
  </si>
  <si>
    <t>№ 29 від 05.03.2018</t>
  </si>
  <si>
    <t>№ 30 від 05.03.2018</t>
  </si>
  <si>
    <t>№ 31 від 05.03.2018</t>
  </si>
  <si>
    <t>№ 32 від 05.03.2018</t>
  </si>
  <si>
    <t>№ 33 від 05.03.2018</t>
  </si>
  <si>
    <t>№ 34 від 05.03.2018</t>
  </si>
  <si>
    <t>№ 35 від 05.03.2018</t>
  </si>
  <si>
    <t>№ 36 від 05.03.2018</t>
  </si>
  <si>
    <t>№ 37 від 05.03.2018</t>
  </si>
  <si>
    <t>№ 38 від 05.03.2018</t>
  </si>
  <si>
    <t>№ 39 від 05.03.2018</t>
  </si>
  <si>
    <t>№ 40 від 05.03.2018</t>
  </si>
  <si>
    <t>№ 41 від 05.03.2018</t>
  </si>
  <si>
    <t>№ 42 від 05.03.2018</t>
  </si>
  <si>
    <t>№ 43 від 05.03.2018</t>
  </si>
  <si>
    <t>№ 44 від 05.03.2018</t>
  </si>
  <si>
    <t>№ 45 від 05.03.2018</t>
  </si>
  <si>
    <t>№ 46 від 05.03.2018</t>
  </si>
  <si>
    <t>№ 47 від 05.03.2018</t>
  </si>
  <si>
    <t>№ 48 від 05.03.2018</t>
  </si>
  <si>
    <t>№ 49 від 05.03.2018</t>
  </si>
  <si>
    <t>№ 50 від 05.03.2018</t>
  </si>
  <si>
    <t>№ 51 від 05.03.2018</t>
  </si>
  <si>
    <t>№ 52 від 05.03.2018</t>
  </si>
  <si>
    <t>№ 53 від 05.03.2018</t>
  </si>
  <si>
    <t>№ 54 від 05.03.2018</t>
  </si>
  <si>
    <t>№ 55 від 05.03.2018</t>
  </si>
  <si>
    <t>№ 56 від 05.03.2018</t>
  </si>
  <si>
    <t>№ 57 від 05.03.2018</t>
  </si>
  <si>
    <t>№ 58 від 05.03.2018</t>
  </si>
  <si>
    <t>№ 59 від 05.03.2018</t>
  </si>
  <si>
    <t>№ 60 від 05.03.2018</t>
  </si>
  <si>
    <t>№ 61 від 05.03.2018</t>
  </si>
  <si>
    <t>№ 63 від 05.03.2018</t>
  </si>
  <si>
    <t>№ 62 від 05.03.2018</t>
  </si>
  <si>
    <t>№ 64 від 05.03.2018</t>
  </si>
  <si>
    <t>№ 65 від 05.03.2018</t>
  </si>
  <si>
    <t>№ 66 від 05.03.2018</t>
  </si>
  <si>
    <t>№ 19-18 від 06.03.2018</t>
  </si>
  <si>
    <t>№ 24-18 від 16.03.2018</t>
  </si>
  <si>
    <t>№ 17-18 від 05.03.2018</t>
  </si>
  <si>
    <t>№ 18-18 від  06.03.2018</t>
  </si>
  <si>
    <t>№ 21-18 від 12.03.2018</t>
  </si>
  <si>
    <t>№ 23-18 від 16.03.18</t>
  </si>
  <si>
    <t>№ 20-18 від 07.03.2018</t>
  </si>
  <si>
    <t>№ 22-18 від 13.03.2018</t>
  </si>
  <si>
    <t>№26-18 від 22.03.2018</t>
  </si>
  <si>
    <t>№ 25-18 від 20.03.2018</t>
  </si>
  <si>
    <t>№ 67 від 12.04.2018</t>
  </si>
  <si>
    <t>Кесельман Майя Петрівна</t>
  </si>
  <si>
    <t>№27-18 від 03.04.2018</t>
  </si>
  <si>
    <t>смт Чаплинка</t>
  </si>
  <si>
    <t>№   70   від 05.05.2018</t>
  </si>
  <si>
    <t>№ 69 від 23.04.2018</t>
  </si>
  <si>
    <t>№ 68 від 23.04.2018</t>
  </si>
  <si>
    <t>№20 від 13.04.2018  р.</t>
  </si>
  <si>
    <t>№15 від 06.03.2018 р.</t>
  </si>
  <si>
    <t>№ 18  від 22.03.2018 р.</t>
  </si>
  <si>
    <t>№ 19  від 22.03.2018 р.</t>
  </si>
  <si>
    <t>№ 16/ХМЦ від 21.04.17</t>
  </si>
  <si>
    <t>№ 15-18 від 27.08.18</t>
  </si>
  <si>
    <t>№ 72 від 25.06.2018</t>
  </si>
  <si>
    <t>№ 12 від 19.06.2018</t>
  </si>
  <si>
    <t>№ 9 від 16.03.2018</t>
  </si>
  <si>
    <t xml:space="preserve">№ 10 від 16.03.2018 </t>
  </si>
  <si>
    <t>№ 11 від 16.05.2018</t>
  </si>
  <si>
    <t>№ 71 від  25.05.2018</t>
  </si>
  <si>
    <t>№ 9 від 16.05.2017</t>
  </si>
  <si>
    <t xml:space="preserve">№ 17  від 12.03.2018 </t>
  </si>
  <si>
    <t>№ 16  від 12.03.2018</t>
  </si>
  <si>
    <t>№ 21  від 22.06.2018</t>
  </si>
  <si>
    <t>№ 16-18 від 28.02.2018</t>
  </si>
  <si>
    <t>№ 4/ХМЦ  від 23.03.17</t>
  </si>
  <si>
    <t>Тюпляєва Тетяна Геннадіївна</t>
  </si>
  <si>
    <t>№ 28-18 від 04.07.2018</t>
  </si>
  <si>
    <t>Бойко В'ячеслав Володимирович</t>
  </si>
  <si>
    <t>№ 29-18 від 04.08.2018</t>
  </si>
  <si>
    <t>Коваленко Вікторія Вікторівна</t>
  </si>
  <si>
    <t>№29-18 від 04.07.2018</t>
  </si>
  <si>
    <t>м. Гола пристань</t>
  </si>
  <si>
    <t>Шиліна Тетяна Олександрівна</t>
  </si>
  <si>
    <t>№ 11 від 23.08.2018</t>
  </si>
  <si>
    <t>№ 8 від 23.08.2018</t>
  </si>
  <si>
    <t>Бобров Сергій Валентинович</t>
  </si>
  <si>
    <t>м.Краматорськ</t>
  </si>
  <si>
    <t>№ 13 від 01.08.2018</t>
  </si>
  <si>
    <t xml:space="preserve">Шиліна Тетяна Олександрівна </t>
  </si>
  <si>
    <t>№ 74 від 09.11.2018</t>
  </si>
  <si>
    <t>№ 35-18 від 10.12.2018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</si>
</sst>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charset val="1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204"/>
    </font>
    <font>
      <b/>
      <u/>
      <sz val="11"/>
      <color rgb="FF000000"/>
      <name val="Calibri"/>
      <family val="2"/>
      <charset val="204"/>
    </font>
    <font>
      <sz val="8"/>
      <color rgb="FF000000"/>
      <name val="Calibri"/>
      <family val="2"/>
      <charset val="1"/>
    </font>
    <font>
      <b/>
      <sz val="10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1"/>
    </font>
    <font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CC"/>
      </patternFill>
    </fill>
    <fill>
      <patternFill patternType="solid">
        <fgColor rgb="FFDDDDDD"/>
        <bgColor rgb="FFFFCCCC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0" fontId="11" fillId="0" borderId="0"/>
    <xf numFmtId="0" fontId="15" fillId="0" borderId="0"/>
    <xf numFmtId="0" fontId="8" fillId="7" borderId="0" applyBorder="0" applyProtection="0"/>
  </cellStyleXfs>
  <cellXfs count="103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vertical="top" wrapText="1"/>
    </xf>
    <xf numFmtId="0" fontId="4" fillId="0" borderId="0" xfId="1"/>
    <xf numFmtId="0" fontId="2" fillId="0" borderId="1" xfId="1" applyFont="1" applyBorder="1" applyAlignment="1">
      <alignment horizontal="center" vertical="top" wrapText="1"/>
    </xf>
    <xf numFmtId="0" fontId="2" fillId="0" borderId="1" xfId="1" applyFont="1" applyBorder="1" applyAlignment="1">
      <alignment horizontal="left" vertical="top" wrapText="1"/>
    </xf>
    <xf numFmtId="0" fontId="4" fillId="4" borderId="0" xfId="1" applyFill="1"/>
    <xf numFmtId="0" fontId="4" fillId="0" borderId="0" xfId="1" applyBorder="1"/>
    <xf numFmtId="0" fontId="2" fillId="0" borderId="1" xfId="1" applyFont="1" applyBorder="1" applyAlignment="1">
      <alignment horizontal="right" vertical="top" wrapText="1"/>
    </xf>
    <xf numFmtId="0" fontId="2" fillId="5" borderId="0" xfId="1" applyFont="1" applyFill="1" applyAlignment="1">
      <alignment horizontal="center" vertical="top" wrapText="1"/>
    </xf>
    <xf numFmtId="0" fontId="2" fillId="5" borderId="1" xfId="1" applyFont="1" applyFill="1" applyBorder="1" applyAlignment="1">
      <alignment horizontal="right" vertical="top" wrapText="1"/>
    </xf>
    <xf numFmtId="0" fontId="4" fillId="5" borderId="0" xfId="1" applyFill="1"/>
    <xf numFmtId="0" fontId="2" fillId="5" borderId="1" xfId="1" applyFont="1" applyFill="1" applyBorder="1" applyAlignment="1">
      <alignment horizontal="center" vertical="top" wrapText="1"/>
    </xf>
    <xf numFmtId="0" fontId="4" fillId="3" borderId="0" xfId="1" applyFill="1"/>
    <xf numFmtId="2" fontId="4" fillId="0" borderId="0" xfId="1" applyNumberFormat="1"/>
    <xf numFmtId="0" fontId="2" fillId="0" borderId="5" xfId="0" applyFont="1" applyFill="1" applyBorder="1" applyAlignment="1">
      <alignment horizontal="center" vertical="center" wrapText="1"/>
    </xf>
    <xf numFmtId="0" fontId="4" fillId="2" borderId="0" xfId="1" applyFill="1"/>
    <xf numFmtId="0" fontId="4" fillId="6" borderId="0" xfId="1" applyFill="1"/>
    <xf numFmtId="2" fontId="4" fillId="5" borderId="0" xfId="1" applyNumberFormat="1" applyFill="1"/>
    <xf numFmtId="2" fontId="4" fillId="3" borderId="0" xfId="1" applyNumberFormat="1" applyFill="1"/>
    <xf numFmtId="0" fontId="4" fillId="3" borderId="0" xfId="1" applyFill="1" applyBorder="1"/>
    <xf numFmtId="0" fontId="12" fillId="0" borderId="7" xfId="2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 vertical="center" wrapText="1"/>
    </xf>
    <xf numFmtId="0" fontId="4" fillId="0" borderId="0" xfId="1" applyFill="1"/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2" fontId="4" fillId="0" borderId="0" xfId="1" applyNumberForma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2" fontId="2" fillId="0" borderId="9" xfId="1" applyNumberFormat="1" applyFont="1" applyFill="1" applyBorder="1" applyAlignment="1">
      <alignment horizontal="center" vertical="center" wrapText="1"/>
    </xf>
    <xf numFmtId="0" fontId="14" fillId="0" borderId="7" xfId="2" applyFont="1" applyFill="1" applyBorder="1" applyAlignment="1">
      <alignment horizontal="center" vertical="top" wrapText="1"/>
    </xf>
    <xf numFmtId="2" fontId="2" fillId="0" borderId="10" xfId="0" applyNumberFormat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center" vertical="center" wrapText="1"/>
    </xf>
    <xf numFmtId="2" fontId="2" fillId="0" borderId="10" xfId="1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top" wrapText="1"/>
    </xf>
    <xf numFmtId="0" fontId="3" fillId="0" borderId="10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top" wrapText="1"/>
    </xf>
    <xf numFmtId="0" fontId="2" fillId="0" borderId="2" xfId="1" applyFont="1" applyFill="1" applyBorder="1" applyAlignment="1">
      <alignment horizontal="center" vertical="top" wrapText="1"/>
    </xf>
    <xf numFmtId="0" fontId="2" fillId="0" borderId="5" xfId="1" applyFont="1" applyFill="1" applyBorder="1" applyAlignment="1">
      <alignment horizontal="center" vertical="top" wrapText="1"/>
    </xf>
    <xf numFmtId="0" fontId="2" fillId="0" borderId="8" xfId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center" vertical="top" wrapText="1"/>
    </xf>
    <xf numFmtId="0" fontId="3" fillId="0" borderId="8" xfId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2" fontId="2" fillId="0" borderId="8" xfId="1" applyNumberFormat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top" wrapText="1"/>
    </xf>
    <xf numFmtId="0" fontId="2" fillId="0" borderId="11" xfId="1" applyFont="1" applyFill="1" applyBorder="1" applyAlignment="1">
      <alignment horizontal="left" vertical="top" wrapText="1"/>
    </xf>
    <xf numFmtId="0" fontId="3" fillId="0" borderId="11" xfId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/>
    </xf>
    <xf numFmtId="2" fontId="2" fillId="0" borderId="11" xfId="1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2" fontId="2" fillId="0" borderId="2" xfId="1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/>
    </xf>
    <xf numFmtId="0" fontId="7" fillId="0" borderId="0" xfId="1" applyFont="1" applyBorder="1" applyAlignment="1">
      <alignment horizontal="center" vertical="top" wrapText="1"/>
    </xf>
    <xf numFmtId="0" fontId="2" fillId="0" borderId="2" xfId="1" applyFont="1" applyFill="1" applyBorder="1" applyAlignment="1">
      <alignment vertical="top" wrapText="1"/>
    </xf>
    <xf numFmtId="0" fontId="8" fillId="0" borderId="1" xfId="1" applyFont="1" applyFill="1" applyBorder="1" applyAlignment="1">
      <alignment horizontal="center" vertical="top" wrapText="1"/>
    </xf>
    <xf numFmtId="0" fontId="8" fillId="0" borderId="4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vertical="top" wrapText="1"/>
    </xf>
    <xf numFmtId="0" fontId="2" fillId="0" borderId="4" xfId="1" applyFont="1" applyFill="1" applyBorder="1" applyAlignment="1">
      <alignment horizontal="center" vertical="top" wrapText="1"/>
    </xf>
    <xf numFmtId="0" fontId="9" fillId="0" borderId="1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top" wrapText="1"/>
    </xf>
    <xf numFmtId="2" fontId="9" fillId="0" borderId="1" xfId="1" applyNumberFormat="1" applyFont="1" applyFill="1" applyBorder="1" applyAlignment="1">
      <alignment horizontal="center" vertical="top" wrapText="1"/>
    </xf>
    <xf numFmtId="2" fontId="3" fillId="0" borderId="1" xfId="1" applyNumberFormat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/>
    </xf>
    <xf numFmtId="0" fontId="0" fillId="0" borderId="1" xfId="0" applyFill="1" applyBorder="1"/>
    <xf numFmtId="2" fontId="4" fillId="0" borderId="1" xfId="1" applyNumberFormat="1" applyFill="1" applyBorder="1"/>
    <xf numFmtId="2" fontId="2" fillId="0" borderId="1" xfId="1" applyNumberFormat="1" applyFont="1" applyFill="1" applyBorder="1" applyAlignment="1">
      <alignment horizontal="center"/>
    </xf>
    <xf numFmtId="2" fontId="4" fillId="0" borderId="1" xfId="1" applyNumberForma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10" fillId="0" borderId="6" xfId="1" applyFont="1" applyFill="1" applyBorder="1" applyAlignment="1">
      <alignment horizontal="left" vertical="top" wrapText="1"/>
    </xf>
    <xf numFmtId="0" fontId="8" fillId="0" borderId="3" xfId="1" applyFont="1" applyFill="1" applyBorder="1" applyAlignment="1">
      <alignment horizontal="center" vertical="top" wrapText="1"/>
    </xf>
    <xf numFmtId="0" fontId="8" fillId="0" borderId="3" xfId="1" applyFont="1" applyFill="1" applyBorder="1" applyAlignment="1">
      <alignment horizontal="left" vertical="top" wrapText="1"/>
    </xf>
    <xf numFmtId="2" fontId="8" fillId="0" borderId="3" xfId="1" applyNumberFormat="1" applyFont="1" applyFill="1" applyBorder="1" applyAlignment="1">
      <alignment horizontal="center" vertical="top" wrapText="1"/>
    </xf>
    <xf numFmtId="0" fontId="2" fillId="0" borderId="11" xfId="1" applyFont="1" applyFill="1" applyBorder="1" applyAlignment="1">
      <alignment vertical="top" wrapText="1"/>
    </xf>
    <xf numFmtId="0" fontId="2" fillId="0" borderId="0" xfId="1" applyFont="1" applyFill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 wrapText="1"/>
    </xf>
    <xf numFmtId="0" fontId="4" fillId="0" borderId="0" xfId="1" applyFill="1" applyBorder="1"/>
    <xf numFmtId="0" fontId="2" fillId="0" borderId="1" xfId="1" applyFont="1" applyFill="1" applyBorder="1" applyAlignment="1">
      <alignment horizontal="right" vertical="top" wrapText="1"/>
    </xf>
    <xf numFmtId="0" fontId="2" fillId="0" borderId="5" xfId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2" fontId="2" fillId="0" borderId="5" xfId="1" applyNumberFormat="1" applyFont="1" applyFill="1" applyBorder="1" applyAlignment="1">
      <alignment horizontal="center" vertical="center" wrapText="1"/>
    </xf>
  </cellXfs>
  <cellStyles count="5">
    <cellStyle name="Звичайний 2" xfId="1"/>
    <cellStyle name="Звичайний 3" xfId="2"/>
    <cellStyle name="Звичайний 4" xfId="3"/>
    <cellStyle name="Обычный" xfId="0" builtinId="0"/>
    <cellStyle name="Текст пояснення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183"/>
  <sheetViews>
    <sheetView topLeftCell="A146" zoomScale="79" zoomScaleNormal="79" workbookViewId="0">
      <selection activeCell="C160" sqref="A7:Q168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f t="shared" si="0"/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>
        <v>0</v>
      </c>
      <c r="J10" s="26">
        <v>0</v>
      </c>
      <c r="K10" s="27">
        <f>L10+M10</f>
        <v>0</v>
      </c>
      <c r="L10" s="75"/>
      <c r="M10" s="75"/>
      <c r="N10" s="1"/>
      <c r="O10" s="27">
        <f t="shared" ref="O10:O83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232</v>
      </c>
      <c r="G11" s="23" t="s">
        <v>122</v>
      </c>
      <c r="H11" s="25"/>
      <c r="I11" s="1"/>
      <c r="J11" s="26"/>
      <c r="K11" s="27">
        <f t="shared" ref="K11:K76" si="2">L11+M11</f>
        <v>0</v>
      </c>
      <c r="L11" s="27"/>
      <c r="M11" s="27"/>
      <c r="N11" s="1"/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148</v>
      </c>
      <c r="G12" s="23" t="s">
        <v>142</v>
      </c>
      <c r="H12" s="25">
        <v>1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211</v>
      </c>
      <c r="G13" s="23" t="s">
        <v>136</v>
      </c>
      <c r="H13" s="25"/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240</v>
      </c>
      <c r="G14" s="23" t="s">
        <v>142</v>
      </c>
      <c r="H14" s="25">
        <v>1</v>
      </c>
      <c r="I14" s="1"/>
      <c r="J14" s="26"/>
      <c r="K14" s="27">
        <f t="shared" si="2"/>
        <v>0</v>
      </c>
      <c r="L14" s="27"/>
      <c r="M14" s="27"/>
      <c r="N14" s="1"/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212</v>
      </c>
      <c r="G15" s="23" t="s">
        <v>136</v>
      </c>
      <c r="H15" s="25"/>
      <c r="I15" s="2"/>
      <c r="J15" s="26"/>
      <c r="K15" s="27">
        <f t="shared" si="2"/>
        <v>0</v>
      </c>
      <c r="L15" s="27"/>
      <c r="M15" s="27"/>
      <c r="N15" s="2"/>
      <c r="O15" s="27">
        <f t="shared" si="1"/>
        <v>0</v>
      </c>
      <c r="P15" s="27"/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24</v>
      </c>
      <c r="F16" s="23" t="s">
        <v>241</v>
      </c>
      <c r="G16" s="23" t="s">
        <v>142</v>
      </c>
      <c r="H16" s="25"/>
      <c r="I16" s="1"/>
      <c r="J16" s="26"/>
      <c r="K16" s="27">
        <f t="shared" si="2"/>
        <v>0</v>
      </c>
      <c r="L16" s="27"/>
      <c r="M16" s="27"/>
      <c r="N16" s="1"/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129</v>
      </c>
      <c r="F17" s="23" t="s">
        <v>130</v>
      </c>
      <c r="G17" s="23" t="s">
        <v>131</v>
      </c>
      <c r="H17" s="25"/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/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149</v>
      </c>
      <c r="G19" s="23" t="s">
        <v>142</v>
      </c>
      <c r="H19" s="25"/>
      <c r="I19" s="1"/>
      <c r="J19" s="26"/>
      <c r="K19" s="27">
        <f t="shared" si="2"/>
        <v>0</v>
      </c>
      <c r="L19" s="27"/>
      <c r="M19" s="27"/>
      <c r="N19" s="1"/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150</v>
      </c>
      <c r="G20" s="23" t="s">
        <v>142</v>
      </c>
      <c r="H20" s="25"/>
      <c r="I20" s="1"/>
      <c r="J20" s="26"/>
      <c r="K20" s="27">
        <f t="shared" si="2"/>
        <v>0</v>
      </c>
      <c r="L20" s="27"/>
      <c r="M20" s="27"/>
      <c r="N20" s="1"/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213</v>
      </c>
      <c r="G21" s="23" t="s">
        <v>136</v>
      </c>
      <c r="H21" s="25"/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237</v>
      </c>
      <c r="G22" s="23" t="s">
        <v>124</v>
      </c>
      <c r="H22" s="25"/>
      <c r="I22" s="2"/>
      <c r="J22" s="26"/>
      <c r="K22" s="27">
        <f t="shared" si="2"/>
        <v>0</v>
      </c>
      <c r="L22" s="27"/>
      <c r="M22" s="27"/>
      <c r="N22" s="2"/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151</v>
      </c>
      <c r="G23" s="23" t="s">
        <v>142</v>
      </c>
      <c r="H23" s="25"/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132</v>
      </c>
      <c r="F24" s="23" t="s">
        <v>240</v>
      </c>
      <c r="G24" s="23" t="s">
        <v>131</v>
      </c>
      <c r="H24" s="25"/>
      <c r="I24" s="1"/>
      <c r="J24" s="26"/>
      <c r="K24" s="27">
        <f t="shared" si="2"/>
        <v>0</v>
      </c>
      <c r="L24" s="27"/>
      <c r="M24" s="27"/>
      <c r="N24" s="1"/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/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152</v>
      </c>
      <c r="G26" s="30" t="s">
        <v>142</v>
      </c>
      <c r="H26" s="25"/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143</v>
      </c>
      <c r="G27" s="23" t="s">
        <v>142</v>
      </c>
      <c r="H27" s="25">
        <v>1</v>
      </c>
      <c r="I27" s="1"/>
      <c r="J27" s="44"/>
      <c r="K27" s="27">
        <f t="shared" si="2"/>
        <v>0</v>
      </c>
      <c r="L27" s="27"/>
      <c r="M27" s="27"/>
      <c r="N27" s="1"/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278</v>
      </c>
      <c r="G28" s="23" t="s">
        <v>136</v>
      </c>
      <c r="H28" s="25"/>
      <c r="I28" s="1"/>
      <c r="J28" s="26"/>
      <c r="K28" s="27"/>
      <c r="L28" s="27"/>
      <c r="M28" s="27"/>
      <c r="N28" s="1"/>
      <c r="O28" s="27"/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153</v>
      </c>
      <c r="G29" s="23" t="s">
        <v>142</v>
      </c>
      <c r="H29" s="25"/>
      <c r="I29" s="1"/>
      <c r="J29" s="26"/>
      <c r="K29" s="27">
        <f t="shared" si="2"/>
        <v>0</v>
      </c>
      <c r="L29" s="27"/>
      <c r="M29" s="27"/>
      <c r="N29" s="1"/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/>
      <c r="F30" s="23" t="s">
        <v>247</v>
      </c>
      <c r="G30" s="23" t="s">
        <v>124</v>
      </c>
      <c r="H30" s="25"/>
      <c r="I30" s="2"/>
      <c r="J30" s="26"/>
      <c r="K30" s="27">
        <f t="shared" si="2"/>
        <v>0</v>
      </c>
      <c r="L30" s="27"/>
      <c r="M30" s="27"/>
      <c r="N30" s="2"/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286</v>
      </c>
      <c r="G31" s="23" t="s">
        <v>136</v>
      </c>
      <c r="H31" s="25"/>
      <c r="I31" s="2"/>
      <c r="J31" s="26"/>
      <c r="K31" s="27">
        <f t="shared" si="2"/>
        <v>0</v>
      </c>
      <c r="L31" s="27"/>
      <c r="M31" s="27"/>
      <c r="N31" s="2"/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154</v>
      </c>
      <c r="G32" s="77" t="s">
        <v>142</v>
      </c>
      <c r="H32" s="25">
        <v>1</v>
      </c>
      <c r="I32" s="1"/>
      <c r="J32" s="26"/>
      <c r="K32" s="27">
        <f t="shared" si="2"/>
        <v>0</v>
      </c>
      <c r="L32" s="27"/>
      <c r="M32" s="27"/>
      <c r="N32" s="1"/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/>
      <c r="F33" s="23" t="s">
        <v>259</v>
      </c>
      <c r="G33" s="23" t="s">
        <v>124</v>
      </c>
      <c r="H33" s="25">
        <v>1</v>
      </c>
      <c r="I33" s="2"/>
      <c r="J33" s="26"/>
      <c r="K33" s="27">
        <f t="shared" si="2"/>
        <v>0</v>
      </c>
      <c r="L33" s="27"/>
      <c r="M33" s="27"/>
      <c r="N33" s="2"/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155</v>
      </c>
      <c r="G34" s="23" t="s">
        <v>142</v>
      </c>
      <c r="H34" s="25"/>
      <c r="I34" s="1"/>
      <c r="J34" s="26"/>
      <c r="K34" s="27">
        <f t="shared" si="2"/>
        <v>0</v>
      </c>
      <c r="L34" s="27"/>
      <c r="M34" s="27"/>
      <c r="N34" s="1"/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220</v>
      </c>
      <c r="G35" s="23" t="s">
        <v>122</v>
      </c>
      <c r="H35" s="25"/>
      <c r="I35" s="1"/>
      <c r="J35" s="26"/>
      <c r="K35" s="27">
        <f t="shared" si="2"/>
        <v>0</v>
      </c>
      <c r="L35" s="27"/>
      <c r="M35" s="27"/>
      <c r="N35" s="1"/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156</v>
      </c>
      <c r="G36" s="23" t="s">
        <v>142</v>
      </c>
      <c r="H36" s="25"/>
      <c r="I36" s="1"/>
      <c r="J36" s="26"/>
      <c r="K36" s="27">
        <f t="shared" si="2"/>
        <v>0</v>
      </c>
      <c r="L36" s="27"/>
      <c r="M36" s="27"/>
      <c r="N36" s="1"/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214</v>
      </c>
      <c r="G37" s="23" t="s">
        <v>136</v>
      </c>
      <c r="H37" s="25"/>
      <c r="I37" s="2"/>
      <c r="J37" s="26"/>
      <c r="K37" s="27">
        <f t="shared" si="2"/>
        <v>0</v>
      </c>
      <c r="L37" s="27"/>
      <c r="M37" s="27"/>
      <c r="N37" s="2"/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157</v>
      </c>
      <c r="G38" s="77" t="s">
        <v>142</v>
      </c>
      <c r="H38" s="25"/>
      <c r="I38" s="1"/>
      <c r="J38" s="26"/>
      <c r="K38" s="27">
        <f t="shared" si="2"/>
        <v>0</v>
      </c>
      <c r="L38" s="27"/>
      <c r="M38" s="27"/>
      <c r="N38" s="1"/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215</v>
      </c>
      <c r="G39" s="23" t="s">
        <v>136</v>
      </c>
      <c r="H39" s="25"/>
      <c r="I39" s="2"/>
      <c r="J39" s="26"/>
      <c r="K39" s="27">
        <f t="shared" si="2"/>
        <v>0</v>
      </c>
      <c r="L39" s="27"/>
      <c r="M39" s="27"/>
      <c r="N39" s="2"/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158</v>
      </c>
      <c r="G40" s="23" t="s">
        <v>142</v>
      </c>
      <c r="H40" s="25"/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221</v>
      </c>
      <c r="G41" s="23" t="s">
        <v>122</v>
      </c>
      <c r="H41" s="25"/>
      <c r="I41" s="1"/>
      <c r="J41" s="26"/>
      <c r="K41" s="27">
        <f t="shared" si="2"/>
        <v>0</v>
      </c>
      <c r="L41" s="27"/>
      <c r="M41" s="27"/>
      <c r="N41" s="1"/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159</v>
      </c>
      <c r="G42" s="23" t="s">
        <v>142</v>
      </c>
      <c r="H42" s="25"/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248</v>
      </c>
      <c r="G43" s="23" t="s">
        <v>124</v>
      </c>
      <c r="H43" s="25"/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160</v>
      </c>
      <c r="G44" s="23" t="s">
        <v>142</v>
      </c>
      <c r="H44" s="25"/>
      <c r="I44" s="1"/>
      <c r="J44" s="26"/>
      <c r="K44" s="27">
        <f t="shared" si="2"/>
        <v>0</v>
      </c>
      <c r="L44" s="27"/>
      <c r="M44" s="27"/>
      <c r="N44" s="1"/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222</v>
      </c>
      <c r="G45" s="23" t="s">
        <v>122</v>
      </c>
      <c r="H45" s="25"/>
      <c r="I45" s="1"/>
      <c r="J45" s="26"/>
      <c r="K45" s="27">
        <f t="shared" si="2"/>
        <v>0</v>
      </c>
      <c r="L45" s="27"/>
      <c r="M45" s="27"/>
      <c r="N45" s="1"/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161</v>
      </c>
      <c r="G46" s="77" t="s">
        <v>142</v>
      </c>
      <c r="H46" s="25"/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223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/>
      <c r="O47" s="27">
        <f t="shared" si="1"/>
        <v>0</v>
      </c>
      <c r="P47" s="27"/>
      <c r="Q47" s="27"/>
      <c r="R47" s="20"/>
    </row>
    <row r="48" spans="1:38" ht="15" customHeight="1">
      <c r="A48" s="24">
        <v>20</v>
      </c>
      <c r="B48" s="23" t="s">
        <v>48</v>
      </c>
      <c r="C48" s="24" t="s">
        <v>18</v>
      </c>
      <c r="D48" s="23"/>
      <c r="E48" s="23" t="s">
        <v>19</v>
      </c>
      <c r="F48" s="23" t="s">
        <v>162</v>
      </c>
      <c r="G48" s="23" t="s">
        <v>142</v>
      </c>
      <c r="H48" s="25">
        <v>1</v>
      </c>
      <c r="I48" s="1"/>
      <c r="J48" s="26"/>
      <c r="K48" s="27">
        <f t="shared" si="2"/>
        <v>0</v>
      </c>
      <c r="L48" s="27"/>
      <c r="M48" s="27"/>
      <c r="N48" s="1">
        <v>1</v>
      </c>
      <c r="O48" s="27">
        <f t="shared" si="1"/>
        <v>0</v>
      </c>
      <c r="P48" s="27"/>
      <c r="Q48" s="27"/>
      <c r="R48" s="20"/>
    </row>
    <row r="49" spans="1:38" ht="15" customHeight="1">
      <c r="A49" s="24"/>
      <c r="B49" s="23" t="s">
        <v>48</v>
      </c>
      <c r="C49" s="24" t="s">
        <v>18</v>
      </c>
      <c r="D49" s="23"/>
      <c r="E49" s="23" t="s">
        <v>19</v>
      </c>
      <c r="F49" s="23" t="s">
        <v>120</v>
      </c>
      <c r="G49" s="23" t="s">
        <v>122</v>
      </c>
      <c r="H49" s="25"/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20"/>
    </row>
    <row r="50" spans="1:38" ht="15" customHeight="1">
      <c r="A50" s="24">
        <v>21</v>
      </c>
      <c r="B50" s="23" t="s">
        <v>49</v>
      </c>
      <c r="C50" s="24" t="s">
        <v>18</v>
      </c>
      <c r="D50" s="23"/>
      <c r="E50" s="23" t="s">
        <v>19</v>
      </c>
      <c r="F50" s="23" t="s">
        <v>163</v>
      </c>
      <c r="G50" s="23" t="s">
        <v>142</v>
      </c>
      <c r="H50" s="25"/>
      <c r="I50" s="1"/>
      <c r="J50" s="26"/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20"/>
    </row>
    <row r="51" spans="1:38" s="7" customFormat="1" ht="15" customHeight="1">
      <c r="A51" s="24">
        <v>22</v>
      </c>
      <c r="B51" s="23" t="s">
        <v>138</v>
      </c>
      <c r="C51" s="24" t="s">
        <v>18</v>
      </c>
      <c r="D51" s="23"/>
      <c r="E51" s="23" t="s">
        <v>19</v>
      </c>
      <c r="F51" s="23" t="s">
        <v>244</v>
      </c>
      <c r="G51" s="23" t="s">
        <v>142</v>
      </c>
      <c r="H51" s="25"/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 spans="1:38" ht="15" customHeight="1">
      <c r="A52" s="24"/>
      <c r="B52" s="23" t="s">
        <v>138</v>
      </c>
      <c r="C52" s="24" t="s">
        <v>18</v>
      </c>
      <c r="D52" s="23"/>
      <c r="E52" s="23" t="s">
        <v>19</v>
      </c>
      <c r="F52" s="23" t="s">
        <v>229</v>
      </c>
      <c r="G52" s="23" t="s">
        <v>136</v>
      </c>
      <c r="H52" s="25"/>
      <c r="I52" s="2"/>
      <c r="J52" s="26"/>
      <c r="K52" s="27">
        <f t="shared" si="2"/>
        <v>0</v>
      </c>
      <c r="L52" s="27"/>
      <c r="M52" s="27"/>
      <c r="N52" s="2"/>
      <c r="O52" s="27">
        <f t="shared" si="1"/>
        <v>0</v>
      </c>
      <c r="P52" s="27"/>
      <c r="Q52" s="27"/>
      <c r="R52" s="20"/>
    </row>
    <row r="53" spans="1:38" s="8" customFormat="1">
      <c r="A53" s="78">
        <v>23</v>
      </c>
      <c r="B53" s="79" t="s">
        <v>147</v>
      </c>
      <c r="C53" s="80" t="s">
        <v>18</v>
      </c>
      <c r="D53" s="79"/>
      <c r="E53" s="79" t="s">
        <v>50</v>
      </c>
      <c r="F53" s="79"/>
      <c r="G53" s="79" t="s">
        <v>142</v>
      </c>
      <c r="H53" s="81"/>
      <c r="I53" s="82"/>
      <c r="J53" s="26"/>
      <c r="K53" s="27">
        <f t="shared" si="2"/>
        <v>0</v>
      </c>
      <c r="L53" s="83"/>
      <c r="M53" s="83"/>
      <c r="N53" s="26"/>
      <c r="O53" s="27">
        <f t="shared" si="1"/>
        <v>0</v>
      </c>
      <c r="P53" s="78"/>
      <c r="Q53" s="84"/>
      <c r="R53" s="20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7" customFormat="1" ht="24.75" customHeight="1">
      <c r="A54" s="29">
        <v>24</v>
      </c>
      <c r="B54" s="30" t="s">
        <v>51</v>
      </c>
      <c r="C54" s="29" t="s">
        <v>52</v>
      </c>
      <c r="D54" s="30" t="s">
        <v>53</v>
      </c>
      <c r="E54" s="30" t="s">
        <v>19</v>
      </c>
      <c r="F54" s="30" t="s">
        <v>164</v>
      </c>
      <c r="G54" s="30" t="s">
        <v>142</v>
      </c>
      <c r="H54" s="25"/>
      <c r="I54" s="1"/>
      <c r="J54" s="26"/>
      <c r="K54" s="27">
        <f t="shared" si="2"/>
        <v>0</v>
      </c>
      <c r="L54" s="27"/>
      <c r="M54" s="27"/>
      <c r="N54" s="1"/>
      <c r="O54" s="27">
        <f t="shared" si="1"/>
        <v>0</v>
      </c>
      <c r="P54" s="27"/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>
        <v>25</v>
      </c>
      <c r="B55" s="23" t="s">
        <v>54</v>
      </c>
      <c r="C55" s="24" t="s">
        <v>18</v>
      </c>
      <c r="D55" s="23"/>
      <c r="E55" s="23" t="s">
        <v>19</v>
      </c>
      <c r="F55" s="23" t="s">
        <v>165</v>
      </c>
      <c r="G55" s="23" t="s">
        <v>142</v>
      </c>
      <c r="H55" s="25">
        <v>2</v>
      </c>
      <c r="I55" s="1"/>
      <c r="J55" s="26"/>
      <c r="K55" s="27">
        <f t="shared" si="2"/>
        <v>0</v>
      </c>
      <c r="L55" s="27"/>
      <c r="M55" s="27"/>
      <c r="N55" s="1"/>
      <c r="O55" s="27">
        <f t="shared" si="1"/>
        <v>0</v>
      </c>
      <c r="P55" s="27"/>
      <c r="Q55" s="27"/>
      <c r="R55" s="20"/>
    </row>
    <row r="56" spans="1:38" ht="15" customHeight="1">
      <c r="A56" s="24"/>
      <c r="B56" s="23" t="s">
        <v>54</v>
      </c>
      <c r="C56" s="24" t="s">
        <v>18</v>
      </c>
      <c r="D56" s="23"/>
      <c r="E56" s="23" t="s">
        <v>19</v>
      </c>
      <c r="F56" s="23" t="s">
        <v>224</v>
      </c>
      <c r="G56" s="23" t="s">
        <v>122</v>
      </c>
      <c r="H56" s="25"/>
      <c r="I56" s="1"/>
      <c r="J56" s="26"/>
      <c r="K56" s="27">
        <f t="shared" si="2"/>
        <v>0</v>
      </c>
      <c r="L56" s="27"/>
      <c r="M56" s="27"/>
      <c r="N56" s="1"/>
      <c r="O56" s="27">
        <f t="shared" si="1"/>
        <v>0</v>
      </c>
      <c r="P56" s="27"/>
      <c r="Q56" s="27"/>
      <c r="R56" s="20"/>
    </row>
    <row r="57" spans="1:38" s="7" customFormat="1" ht="15" customHeight="1">
      <c r="A57" s="24">
        <v>26</v>
      </c>
      <c r="B57" s="23" t="s">
        <v>55</v>
      </c>
      <c r="C57" s="24" t="s">
        <v>18</v>
      </c>
      <c r="D57" s="23"/>
      <c r="E57" s="23" t="s">
        <v>19</v>
      </c>
      <c r="F57" s="23" t="s">
        <v>166</v>
      </c>
      <c r="G57" s="23" t="s">
        <v>142</v>
      </c>
      <c r="H57" s="25"/>
      <c r="I57" s="1"/>
      <c r="J57" s="26"/>
      <c r="K57" s="27">
        <f t="shared" si="2"/>
        <v>0</v>
      </c>
      <c r="L57" s="27"/>
      <c r="M57" s="27"/>
      <c r="N57" s="1"/>
      <c r="O57" s="27">
        <f t="shared" si="1"/>
        <v>0</v>
      </c>
      <c r="P57" s="27"/>
      <c r="Q57" s="27"/>
      <c r="R57" s="20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 spans="1:38" ht="15.6" customHeight="1">
      <c r="A58" s="24"/>
      <c r="B58" s="23" t="s">
        <v>55</v>
      </c>
      <c r="C58" s="24" t="s">
        <v>18</v>
      </c>
      <c r="D58" s="23"/>
      <c r="E58" s="23" t="s">
        <v>19</v>
      </c>
      <c r="F58" s="23" t="s">
        <v>225</v>
      </c>
      <c r="G58" s="23" t="s">
        <v>122</v>
      </c>
      <c r="H58" s="25"/>
      <c r="I58" s="1"/>
      <c r="J58" s="26"/>
      <c r="K58" s="27">
        <f t="shared" si="2"/>
        <v>0</v>
      </c>
      <c r="L58" s="27"/>
      <c r="M58" s="27"/>
      <c r="N58" s="1"/>
      <c r="O58" s="27">
        <f t="shared" si="1"/>
        <v>0</v>
      </c>
      <c r="P58" s="27"/>
      <c r="Q58" s="27"/>
      <c r="R58" s="20"/>
    </row>
    <row r="59" spans="1:38" s="7" customFormat="1" ht="15" customHeight="1">
      <c r="A59" s="24">
        <v>27</v>
      </c>
      <c r="B59" s="23" t="s">
        <v>56</v>
      </c>
      <c r="C59" s="24" t="s">
        <v>52</v>
      </c>
      <c r="D59" s="23" t="s">
        <v>57</v>
      </c>
      <c r="E59" s="23" t="s">
        <v>19</v>
      </c>
      <c r="F59" s="23" t="s">
        <v>167</v>
      </c>
      <c r="G59" s="23" t="s">
        <v>142</v>
      </c>
      <c r="H59" s="25"/>
      <c r="I59" s="1"/>
      <c r="J59" s="26"/>
      <c r="K59" s="27">
        <f t="shared" si="2"/>
        <v>0</v>
      </c>
      <c r="L59" s="27"/>
      <c r="M59" s="27"/>
      <c r="N59" s="1"/>
      <c r="O59" s="27">
        <f t="shared" si="1"/>
        <v>0</v>
      </c>
      <c r="P59" s="27"/>
      <c r="Q59" s="27"/>
      <c r="R59" s="20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 spans="1:38" s="7" customFormat="1" ht="15" customHeight="1">
      <c r="A60" s="24">
        <v>28</v>
      </c>
      <c r="B60" s="23" t="s">
        <v>58</v>
      </c>
      <c r="C60" s="24" t="s">
        <v>18</v>
      </c>
      <c r="D60" s="23"/>
      <c r="E60" s="23" t="s">
        <v>19</v>
      </c>
      <c r="F60" s="23" t="s">
        <v>168</v>
      </c>
      <c r="G60" s="23" t="s">
        <v>142</v>
      </c>
      <c r="H60" s="25"/>
      <c r="I60" s="1"/>
      <c r="J60" s="26"/>
      <c r="K60" s="27">
        <f t="shared" si="2"/>
        <v>0</v>
      </c>
      <c r="L60" s="27"/>
      <c r="M60" s="27"/>
      <c r="N60" s="1"/>
      <c r="O60" s="27">
        <f t="shared" si="1"/>
        <v>0</v>
      </c>
      <c r="P60" s="27"/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s="7" customFormat="1" ht="15" customHeight="1">
      <c r="A61" s="24"/>
      <c r="B61" s="23" t="s">
        <v>58</v>
      </c>
      <c r="C61" s="24" t="s">
        <v>18</v>
      </c>
      <c r="D61" s="23"/>
      <c r="E61" s="23" t="s">
        <v>19</v>
      </c>
      <c r="F61" s="23" t="s">
        <v>270</v>
      </c>
      <c r="G61" s="23" t="s">
        <v>122</v>
      </c>
      <c r="H61" s="25"/>
      <c r="I61" s="1"/>
      <c r="J61" s="26"/>
      <c r="K61" s="27">
        <f t="shared" si="2"/>
        <v>0</v>
      </c>
      <c r="L61" s="27"/>
      <c r="M61" s="27"/>
      <c r="N61" s="1"/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29</v>
      </c>
      <c r="B62" s="23" t="s">
        <v>59</v>
      </c>
      <c r="C62" s="24" t="s">
        <v>18</v>
      </c>
      <c r="D62" s="23"/>
      <c r="E62" s="23" t="s">
        <v>60</v>
      </c>
      <c r="F62" s="23" t="s">
        <v>169</v>
      </c>
      <c r="G62" s="23" t="s">
        <v>142</v>
      </c>
      <c r="H62" s="25">
        <v>1</v>
      </c>
      <c r="I62" s="1"/>
      <c r="J62" s="26"/>
      <c r="K62" s="27">
        <f t="shared" si="2"/>
        <v>0</v>
      </c>
      <c r="L62" s="27"/>
      <c r="M62" s="27"/>
      <c r="N62" s="1"/>
      <c r="O62" s="27">
        <f t="shared" si="1"/>
        <v>0</v>
      </c>
      <c r="P62" s="27"/>
      <c r="Q62" s="27"/>
      <c r="R62" s="20"/>
    </row>
    <row r="63" spans="1:38" ht="15" customHeight="1">
      <c r="A63" s="24"/>
      <c r="B63" s="23" t="s">
        <v>139</v>
      </c>
      <c r="C63" s="24" t="s">
        <v>18</v>
      </c>
      <c r="D63" s="23"/>
      <c r="E63" s="23" t="s">
        <v>60</v>
      </c>
      <c r="F63" s="23" t="s">
        <v>245</v>
      </c>
      <c r="G63" s="23" t="s">
        <v>136</v>
      </c>
      <c r="H63" s="25"/>
      <c r="I63" s="2"/>
      <c r="J63" s="26"/>
      <c r="K63" s="27">
        <f t="shared" si="2"/>
        <v>0</v>
      </c>
      <c r="L63" s="27"/>
      <c r="M63" s="27"/>
      <c r="N63" s="2"/>
      <c r="O63" s="27">
        <f t="shared" si="1"/>
        <v>0</v>
      </c>
      <c r="P63" s="27"/>
      <c r="Q63" s="27"/>
      <c r="R63" s="20"/>
    </row>
    <row r="64" spans="1:38" s="7" customFormat="1" ht="15" customHeight="1">
      <c r="A64" s="24">
        <v>30</v>
      </c>
      <c r="B64" s="23" t="s">
        <v>61</v>
      </c>
      <c r="C64" s="24" t="s">
        <v>18</v>
      </c>
      <c r="D64" s="23"/>
      <c r="E64" s="23" t="s">
        <v>41</v>
      </c>
      <c r="F64" s="23" t="s">
        <v>170</v>
      </c>
      <c r="G64" s="23" t="s">
        <v>142</v>
      </c>
      <c r="H64" s="25">
        <v>1</v>
      </c>
      <c r="I64" s="1"/>
      <c r="J64" s="26"/>
      <c r="K64" s="27">
        <f t="shared" si="2"/>
        <v>0</v>
      </c>
      <c r="L64" s="27"/>
      <c r="M64" s="27"/>
      <c r="N64" s="1"/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" customHeight="1">
      <c r="A65" s="24"/>
      <c r="B65" s="23" t="s">
        <v>61</v>
      </c>
      <c r="C65" s="24" t="s">
        <v>18</v>
      </c>
      <c r="D65" s="23"/>
      <c r="E65" s="23" t="s">
        <v>41</v>
      </c>
      <c r="F65" s="23" t="s">
        <v>216</v>
      </c>
      <c r="G65" s="23" t="s">
        <v>136</v>
      </c>
      <c r="H65" s="25"/>
      <c r="I65" s="2"/>
      <c r="J65" s="26"/>
      <c r="K65" s="27">
        <f t="shared" si="2"/>
        <v>0</v>
      </c>
      <c r="L65" s="27"/>
      <c r="M65" s="27"/>
      <c r="N65" s="2"/>
      <c r="O65" s="27">
        <f t="shared" si="1"/>
        <v>0</v>
      </c>
      <c r="P65" s="27"/>
      <c r="Q65" s="27"/>
      <c r="R65" s="20"/>
    </row>
    <row r="66" spans="1:38" ht="15" customHeight="1">
      <c r="A66" s="24">
        <v>31</v>
      </c>
      <c r="B66" s="23" t="s">
        <v>62</v>
      </c>
      <c r="C66" s="24" t="s">
        <v>18</v>
      </c>
      <c r="D66" s="23"/>
      <c r="E66" s="23" t="s">
        <v>19</v>
      </c>
      <c r="F66" s="23" t="s">
        <v>171</v>
      </c>
      <c r="G66" s="23" t="s">
        <v>142</v>
      </c>
      <c r="H66" s="25">
        <v>2</v>
      </c>
      <c r="I66" s="1"/>
      <c r="J66" s="26"/>
      <c r="K66" s="27">
        <f t="shared" si="2"/>
        <v>0</v>
      </c>
      <c r="L66" s="27"/>
      <c r="M66" s="27"/>
      <c r="N66" s="1"/>
      <c r="O66" s="27">
        <f t="shared" si="1"/>
        <v>0</v>
      </c>
      <c r="P66" s="27"/>
      <c r="Q66" s="27"/>
      <c r="R66" s="20"/>
    </row>
    <row r="67" spans="1:38" ht="15" customHeight="1">
      <c r="A67" s="24"/>
      <c r="B67" s="23" t="s">
        <v>62</v>
      </c>
      <c r="C67" s="24" t="s">
        <v>18</v>
      </c>
      <c r="D67" s="23"/>
      <c r="E67" s="23" t="s">
        <v>19</v>
      </c>
      <c r="F67" s="23" t="s">
        <v>277</v>
      </c>
      <c r="G67" s="23" t="s">
        <v>124</v>
      </c>
      <c r="H67" s="25"/>
      <c r="I67" s="1"/>
      <c r="J67" s="26"/>
      <c r="K67" s="27">
        <f t="shared" si="2"/>
        <v>0</v>
      </c>
      <c r="L67" s="27"/>
      <c r="M67" s="27"/>
      <c r="N67" s="1"/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62</v>
      </c>
      <c r="C68" s="24" t="s">
        <v>18</v>
      </c>
      <c r="D68" s="23"/>
      <c r="E68" s="23" t="s">
        <v>19</v>
      </c>
      <c r="F68" s="23" t="s">
        <v>120</v>
      </c>
      <c r="G68" s="23" t="s">
        <v>122</v>
      </c>
      <c r="H68" s="25"/>
      <c r="I68" s="1"/>
      <c r="J68" s="26"/>
      <c r="K68" s="27">
        <f t="shared" si="2"/>
        <v>0</v>
      </c>
      <c r="L68" s="27"/>
      <c r="M68" s="27"/>
      <c r="N68" s="1"/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62</v>
      </c>
      <c r="C69" s="24" t="s">
        <v>18</v>
      </c>
      <c r="D69" s="23"/>
      <c r="E69" s="23" t="s">
        <v>19</v>
      </c>
      <c r="F69" s="23" t="s">
        <v>249</v>
      </c>
      <c r="G69" s="23" t="s">
        <v>210</v>
      </c>
      <c r="H69" s="25"/>
      <c r="I69" s="1"/>
      <c r="J69" s="26"/>
      <c r="K69" s="27">
        <f t="shared" si="2"/>
        <v>0</v>
      </c>
      <c r="L69" s="27"/>
      <c r="M69" s="27"/>
      <c r="N69" s="1"/>
      <c r="O69" s="27">
        <f t="shared" si="1"/>
        <v>0</v>
      </c>
      <c r="P69" s="27"/>
      <c r="Q69" s="27"/>
      <c r="R69" s="20"/>
    </row>
    <row r="70" spans="1:38" ht="15" customHeight="1">
      <c r="A70" s="24">
        <v>32</v>
      </c>
      <c r="B70" s="23" t="s">
        <v>63</v>
      </c>
      <c r="C70" s="24" t="s">
        <v>18</v>
      </c>
      <c r="D70" s="23"/>
      <c r="E70" s="23" t="s">
        <v>41</v>
      </c>
      <c r="F70" s="23" t="s">
        <v>172</v>
      </c>
      <c r="G70" s="23" t="s">
        <v>142</v>
      </c>
      <c r="H70" s="25">
        <v>2</v>
      </c>
      <c r="I70" s="1"/>
      <c r="J70" s="26"/>
      <c r="K70" s="27">
        <f t="shared" si="2"/>
        <v>0</v>
      </c>
      <c r="L70" s="27"/>
      <c r="M70" s="27"/>
      <c r="N70" s="1"/>
      <c r="O70" s="27">
        <f t="shared" si="1"/>
        <v>0</v>
      </c>
      <c r="P70" s="27"/>
      <c r="Q70" s="27"/>
      <c r="R70" s="20"/>
    </row>
    <row r="71" spans="1:38" ht="15" customHeight="1">
      <c r="A71" s="24"/>
      <c r="B71" s="23" t="s">
        <v>63</v>
      </c>
      <c r="C71" s="24" t="s">
        <v>18</v>
      </c>
      <c r="D71" s="23"/>
      <c r="E71" s="23" t="s">
        <v>41</v>
      </c>
      <c r="F71" s="23" t="s">
        <v>217</v>
      </c>
      <c r="G71" s="23" t="s">
        <v>136</v>
      </c>
      <c r="H71" s="25"/>
      <c r="I71" s="2"/>
      <c r="J71" s="26"/>
      <c r="K71" s="27">
        <f t="shared" si="2"/>
        <v>0</v>
      </c>
      <c r="L71" s="27"/>
      <c r="M71" s="27"/>
      <c r="N71" s="2"/>
      <c r="O71" s="27">
        <f t="shared" si="1"/>
        <v>0</v>
      </c>
      <c r="P71" s="27"/>
      <c r="Q71" s="27"/>
      <c r="R71" s="20"/>
    </row>
    <row r="72" spans="1:38" s="17" customFormat="1" ht="15" customHeight="1">
      <c r="A72" s="24">
        <v>33</v>
      </c>
      <c r="B72" s="23" t="s">
        <v>64</v>
      </c>
      <c r="C72" s="24" t="s">
        <v>18</v>
      </c>
      <c r="D72" s="23"/>
      <c r="E72" s="23" t="s">
        <v>41</v>
      </c>
      <c r="F72" s="23" t="s">
        <v>123</v>
      </c>
      <c r="G72" s="23" t="s">
        <v>142</v>
      </c>
      <c r="H72" s="25"/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</row>
    <row r="73" spans="1:38" ht="15" customHeight="1">
      <c r="A73" s="24"/>
      <c r="B73" s="23" t="s">
        <v>64</v>
      </c>
      <c r="C73" s="24" t="s">
        <v>18</v>
      </c>
      <c r="D73" s="23"/>
      <c r="E73" s="23" t="s">
        <v>41</v>
      </c>
      <c r="F73" s="23" t="s">
        <v>233</v>
      </c>
      <c r="G73" s="23" t="s">
        <v>122</v>
      </c>
      <c r="H73" s="25"/>
      <c r="I73" s="1"/>
      <c r="J73" s="26"/>
      <c r="K73" s="27">
        <f t="shared" si="2"/>
        <v>0</v>
      </c>
      <c r="L73" s="27"/>
      <c r="M73" s="27"/>
      <c r="N73" s="1"/>
      <c r="O73" s="27">
        <f t="shared" si="1"/>
        <v>0</v>
      </c>
      <c r="P73" s="27"/>
      <c r="Q73" s="27"/>
      <c r="R73" s="20"/>
    </row>
    <row r="74" spans="1:38" s="17" customFormat="1" ht="15" customHeight="1">
      <c r="A74" s="24">
        <v>34</v>
      </c>
      <c r="B74" s="23" t="s">
        <v>238</v>
      </c>
      <c r="C74" s="24" t="s">
        <v>18</v>
      </c>
      <c r="D74" s="23"/>
      <c r="E74" s="23" t="s">
        <v>41</v>
      </c>
      <c r="F74" s="23" t="s">
        <v>123</v>
      </c>
      <c r="G74" s="23" t="s">
        <v>142</v>
      </c>
      <c r="H74" s="25">
        <v>1</v>
      </c>
      <c r="I74" s="1"/>
      <c r="J74" s="26"/>
      <c r="K74" s="27">
        <f t="shared" si="2"/>
        <v>0</v>
      </c>
      <c r="L74" s="27"/>
      <c r="M74" s="27"/>
      <c r="N74" s="1"/>
      <c r="O74" s="27">
        <f t="shared" si="1"/>
        <v>0</v>
      </c>
      <c r="P74" s="27"/>
      <c r="Q74" s="27"/>
      <c r="R74" s="20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</row>
    <row r="75" spans="1:38" s="7" customFormat="1" ht="15" customHeight="1">
      <c r="A75" s="24">
        <v>35</v>
      </c>
      <c r="B75" s="23" t="s">
        <v>65</v>
      </c>
      <c r="C75" s="24" t="s">
        <v>18</v>
      </c>
      <c r="D75" s="23"/>
      <c r="E75" s="23" t="s">
        <v>66</v>
      </c>
      <c r="F75" s="23" t="s">
        <v>173</v>
      </c>
      <c r="G75" s="23" t="s">
        <v>142</v>
      </c>
      <c r="H75" s="25"/>
      <c r="I75" s="1"/>
      <c r="J75" s="26"/>
      <c r="K75" s="27">
        <f t="shared" si="2"/>
        <v>0</v>
      </c>
      <c r="L75" s="27"/>
      <c r="M75" s="27"/>
      <c r="N75" s="1"/>
      <c r="O75" s="27">
        <f t="shared" si="1"/>
        <v>0</v>
      </c>
      <c r="P75" s="27"/>
      <c r="Q75" s="27"/>
      <c r="R75" s="20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 spans="1:38" ht="15" customHeight="1">
      <c r="A76" s="24"/>
      <c r="B76" s="23" t="s">
        <v>65</v>
      </c>
      <c r="C76" s="24" t="s">
        <v>18</v>
      </c>
      <c r="D76" s="23"/>
      <c r="E76" s="23" t="s">
        <v>66</v>
      </c>
      <c r="F76" s="23" t="s">
        <v>123</v>
      </c>
      <c r="G76" s="23" t="s">
        <v>136</v>
      </c>
      <c r="H76" s="25"/>
      <c r="I76" s="2"/>
      <c r="J76" s="26"/>
      <c r="K76" s="27">
        <f t="shared" si="2"/>
        <v>0</v>
      </c>
      <c r="L76" s="27"/>
      <c r="M76" s="27"/>
      <c r="N76" s="2"/>
      <c r="O76" s="27">
        <f t="shared" si="1"/>
        <v>0</v>
      </c>
      <c r="P76" s="27"/>
      <c r="Q76" s="27"/>
      <c r="R76" s="20"/>
    </row>
    <row r="77" spans="1:38" s="7" customFormat="1" ht="15" customHeight="1">
      <c r="A77" s="24">
        <v>36</v>
      </c>
      <c r="B77" s="23" t="s">
        <v>67</v>
      </c>
      <c r="C77" s="24" t="s">
        <v>18</v>
      </c>
      <c r="D77" s="23"/>
      <c r="E77" s="23" t="s">
        <v>19</v>
      </c>
      <c r="F77" s="23" t="s">
        <v>174</v>
      </c>
      <c r="G77" s="23" t="s">
        <v>142</v>
      </c>
      <c r="H77" s="25"/>
      <c r="I77" s="1"/>
      <c r="J77" s="26"/>
      <c r="K77" s="27">
        <f t="shared" ref="K77:K145" si="3">L77+M77</f>
        <v>0</v>
      </c>
      <c r="L77" s="27"/>
      <c r="M77" s="27"/>
      <c r="N77" s="1">
        <v>3</v>
      </c>
      <c r="O77" s="27">
        <f t="shared" si="1"/>
        <v>0</v>
      </c>
      <c r="P77" s="27"/>
      <c r="Q77" s="27"/>
      <c r="R77" s="20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 spans="1:38" s="28" customFormat="1" ht="15" customHeight="1">
      <c r="A78" s="24"/>
      <c r="B78" s="23" t="s">
        <v>67</v>
      </c>
      <c r="C78" s="24" t="s">
        <v>18</v>
      </c>
      <c r="D78" s="23"/>
      <c r="E78" s="23" t="s">
        <v>104</v>
      </c>
      <c r="F78" s="23" t="s">
        <v>123</v>
      </c>
      <c r="G78" s="23" t="s">
        <v>122</v>
      </c>
      <c r="H78" s="25"/>
      <c r="I78" s="1"/>
      <c r="J78" s="26"/>
      <c r="K78" s="27">
        <f t="shared" si="3"/>
        <v>0</v>
      </c>
      <c r="L78" s="27"/>
      <c r="M78" s="27"/>
      <c r="N78" s="1"/>
      <c r="O78" s="27">
        <f t="shared" si="1"/>
        <v>0</v>
      </c>
      <c r="P78" s="27"/>
      <c r="Q78" s="27"/>
      <c r="R78" s="20"/>
    </row>
    <row r="79" spans="1:38" ht="15" customHeight="1">
      <c r="A79" s="24">
        <v>37</v>
      </c>
      <c r="B79" s="23" t="s">
        <v>68</v>
      </c>
      <c r="C79" s="24" t="s">
        <v>18</v>
      </c>
      <c r="D79" s="24"/>
      <c r="E79" s="23" t="s">
        <v>50</v>
      </c>
      <c r="F79" s="23" t="s">
        <v>175</v>
      </c>
      <c r="G79" s="23" t="s">
        <v>142</v>
      </c>
      <c r="H79" s="25"/>
      <c r="I79" s="1"/>
      <c r="J79" s="26"/>
      <c r="K79" s="27">
        <f t="shared" si="3"/>
        <v>0</v>
      </c>
      <c r="L79" s="27"/>
      <c r="M79" s="27"/>
      <c r="N79" s="1"/>
      <c r="O79" s="27">
        <f t="shared" si="1"/>
        <v>0</v>
      </c>
      <c r="P79" s="27"/>
      <c r="Q79" s="27"/>
      <c r="R79" s="20"/>
    </row>
    <row r="80" spans="1:38" ht="15" customHeight="1">
      <c r="A80" s="24"/>
      <c r="B80" s="23" t="s">
        <v>68</v>
      </c>
      <c r="C80" s="24" t="s">
        <v>18</v>
      </c>
      <c r="D80" s="23"/>
      <c r="E80" s="23" t="s">
        <v>50</v>
      </c>
      <c r="F80" s="23" t="s">
        <v>123</v>
      </c>
      <c r="G80" s="23" t="s">
        <v>136</v>
      </c>
      <c r="H80" s="25"/>
      <c r="I80" s="2"/>
      <c r="J80" s="26"/>
      <c r="K80" s="27">
        <f t="shared" si="3"/>
        <v>0</v>
      </c>
      <c r="L80" s="27"/>
      <c r="M80" s="27"/>
      <c r="N80" s="2"/>
      <c r="O80" s="27">
        <f t="shared" si="1"/>
        <v>0</v>
      </c>
      <c r="P80" s="27"/>
      <c r="Q80" s="27"/>
      <c r="R80" s="20"/>
    </row>
    <row r="81" spans="1:38" ht="15" customHeight="1">
      <c r="A81" s="24"/>
      <c r="B81" s="23" t="s">
        <v>68</v>
      </c>
      <c r="C81" s="24" t="s">
        <v>18</v>
      </c>
      <c r="D81" s="23"/>
      <c r="E81" s="23" t="s">
        <v>50</v>
      </c>
      <c r="F81" s="23" t="s">
        <v>255</v>
      </c>
      <c r="G81" s="23" t="s">
        <v>124</v>
      </c>
      <c r="H81" s="25"/>
      <c r="I81" s="2"/>
      <c r="J81" s="26"/>
      <c r="K81" s="27">
        <f t="shared" si="3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ht="15" customHeight="1">
      <c r="A82" s="24">
        <v>38</v>
      </c>
      <c r="B82" s="23" t="s">
        <v>127</v>
      </c>
      <c r="C82" s="24" t="s">
        <v>18</v>
      </c>
      <c r="D82" s="23"/>
      <c r="E82" s="23" t="s">
        <v>41</v>
      </c>
      <c r="F82" s="23" t="s">
        <v>239</v>
      </c>
      <c r="G82" s="23" t="s">
        <v>142</v>
      </c>
      <c r="H82" s="25"/>
      <c r="I82" s="2"/>
      <c r="J82" s="26"/>
      <c r="K82" s="27">
        <f t="shared" si="3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ht="15" customHeight="1">
      <c r="A83" s="24"/>
      <c r="B83" s="23" t="s">
        <v>127</v>
      </c>
      <c r="C83" s="24" t="s">
        <v>18</v>
      </c>
      <c r="D83" s="23"/>
      <c r="E83" s="23" t="s">
        <v>50</v>
      </c>
      <c r="F83" s="23" t="s">
        <v>218</v>
      </c>
      <c r="G83" s="23" t="s">
        <v>136</v>
      </c>
      <c r="H83" s="25"/>
      <c r="I83" s="2"/>
      <c r="J83" s="26"/>
      <c r="K83" s="27">
        <f t="shared" si="3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ht="15" customHeight="1">
      <c r="A84" s="24"/>
      <c r="B84" s="23" t="s">
        <v>127</v>
      </c>
      <c r="C84" s="24" t="s">
        <v>18</v>
      </c>
      <c r="D84" s="23"/>
      <c r="E84" s="23" t="s">
        <v>50</v>
      </c>
      <c r="F84" s="23" t="s">
        <v>258</v>
      </c>
      <c r="G84" s="23" t="s">
        <v>124</v>
      </c>
      <c r="H84" s="25"/>
      <c r="I84" s="2"/>
      <c r="J84" s="26"/>
      <c r="K84" s="27">
        <f t="shared" si="3"/>
        <v>0</v>
      </c>
      <c r="L84" s="27"/>
      <c r="M84" s="27"/>
      <c r="N84" s="2"/>
      <c r="O84" s="27">
        <f t="shared" ref="O84:O159" si="4">P84+Q84</f>
        <v>0</v>
      </c>
      <c r="P84" s="27"/>
      <c r="Q84" s="27"/>
      <c r="R84" s="20"/>
    </row>
    <row r="85" spans="1:38" s="7" customFormat="1" ht="15" customHeight="1">
      <c r="A85" s="74">
        <v>39</v>
      </c>
      <c r="B85" s="77" t="s">
        <v>69</v>
      </c>
      <c r="C85" s="74" t="s">
        <v>18</v>
      </c>
      <c r="D85" s="77"/>
      <c r="E85" s="77" t="s">
        <v>19</v>
      </c>
      <c r="F85" s="77" t="s">
        <v>176</v>
      </c>
      <c r="G85" s="77" t="s">
        <v>142</v>
      </c>
      <c r="H85" s="25"/>
      <c r="I85" s="1"/>
      <c r="J85" s="26"/>
      <c r="K85" s="27">
        <f t="shared" si="3"/>
        <v>0</v>
      </c>
      <c r="L85" s="27"/>
      <c r="M85" s="27"/>
      <c r="N85" s="1"/>
      <c r="O85" s="27">
        <f t="shared" si="4"/>
        <v>0</v>
      </c>
      <c r="P85" s="27"/>
      <c r="Q85" s="27"/>
      <c r="R85" s="20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 spans="1:38" s="7" customFormat="1" ht="15.75" customHeight="1">
      <c r="A86" s="74">
        <v>40</v>
      </c>
      <c r="B86" s="77" t="s">
        <v>70</v>
      </c>
      <c r="C86" s="74" t="s">
        <v>18</v>
      </c>
      <c r="D86" s="77"/>
      <c r="E86" s="77" t="s">
        <v>19</v>
      </c>
      <c r="F86" s="77" t="s">
        <v>177</v>
      </c>
      <c r="G86" s="77" t="s">
        <v>142</v>
      </c>
      <c r="H86" s="25">
        <v>1</v>
      </c>
      <c r="I86" s="1">
        <v>1</v>
      </c>
      <c r="J86" s="26">
        <v>1</v>
      </c>
      <c r="K86" s="27">
        <f t="shared" si="3"/>
        <v>0</v>
      </c>
      <c r="L86" s="27"/>
      <c r="M86" s="27"/>
      <c r="N86" s="1">
        <v>3</v>
      </c>
      <c r="O86" s="27">
        <f t="shared" si="4"/>
        <v>0</v>
      </c>
      <c r="P86" s="27"/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ht="15" customHeight="1">
      <c r="A87" s="74">
        <v>41</v>
      </c>
      <c r="B87" s="77" t="s">
        <v>71</v>
      </c>
      <c r="C87" s="74" t="s">
        <v>18</v>
      </c>
      <c r="D87" s="77"/>
      <c r="E87" s="77" t="s">
        <v>32</v>
      </c>
      <c r="F87" s="77" t="s">
        <v>178</v>
      </c>
      <c r="G87" s="77" t="s">
        <v>121</v>
      </c>
      <c r="H87" s="25"/>
      <c r="I87" s="1"/>
      <c r="J87" s="26"/>
      <c r="K87" s="27">
        <f t="shared" si="3"/>
        <v>0</v>
      </c>
      <c r="L87" s="27"/>
      <c r="M87" s="27"/>
      <c r="N87" s="1"/>
      <c r="O87" s="27">
        <f t="shared" si="4"/>
        <v>0</v>
      </c>
      <c r="P87" s="27"/>
      <c r="Q87" s="27"/>
      <c r="R87" s="20"/>
    </row>
    <row r="88" spans="1:38" ht="15" customHeight="1">
      <c r="A88" s="24"/>
      <c r="B88" s="23" t="s">
        <v>71</v>
      </c>
      <c r="C88" s="24" t="s">
        <v>18</v>
      </c>
      <c r="D88" s="23"/>
      <c r="E88" s="23" t="s">
        <v>32</v>
      </c>
      <c r="F88" s="23" t="s">
        <v>273</v>
      </c>
      <c r="G88" s="23" t="s">
        <v>122</v>
      </c>
      <c r="H88" s="25"/>
      <c r="I88" s="1"/>
      <c r="J88" s="26"/>
      <c r="K88" s="27">
        <f t="shared" si="3"/>
        <v>0</v>
      </c>
      <c r="L88" s="27"/>
      <c r="M88" s="27"/>
      <c r="N88" s="1"/>
      <c r="O88" s="27">
        <f t="shared" si="4"/>
        <v>0</v>
      </c>
      <c r="P88" s="27"/>
      <c r="Q88" s="27"/>
      <c r="R88" s="20"/>
    </row>
    <row r="89" spans="1:38" ht="15" customHeight="1">
      <c r="A89" s="24">
        <v>42</v>
      </c>
      <c r="B89" s="23" t="s">
        <v>72</v>
      </c>
      <c r="C89" s="24" t="s">
        <v>18</v>
      </c>
      <c r="D89" s="23"/>
      <c r="E89" s="23" t="s">
        <v>19</v>
      </c>
      <c r="F89" s="23" t="s">
        <v>264</v>
      </c>
      <c r="G89" s="23" t="s">
        <v>142</v>
      </c>
      <c r="H89" s="25"/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20"/>
    </row>
    <row r="90" spans="1:38" ht="15" customHeight="1">
      <c r="A90" s="24"/>
      <c r="B90" s="23" t="s">
        <v>72</v>
      </c>
      <c r="C90" s="24" t="s">
        <v>18</v>
      </c>
      <c r="D90" s="23"/>
      <c r="E90" s="23" t="s">
        <v>19</v>
      </c>
      <c r="F90" s="23" t="s">
        <v>263</v>
      </c>
      <c r="G90" s="23" t="s">
        <v>122</v>
      </c>
      <c r="H90" s="25"/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43</v>
      </c>
      <c r="B91" s="23" t="s">
        <v>73</v>
      </c>
      <c r="C91" s="24" t="s">
        <v>18</v>
      </c>
      <c r="D91" s="23"/>
      <c r="E91" s="23" t="s">
        <v>19</v>
      </c>
      <c r="F91" s="23"/>
      <c r="G91" s="23" t="s">
        <v>142</v>
      </c>
      <c r="H91" s="25"/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7" customFormat="1" ht="15" customHeight="1">
      <c r="A92" s="24">
        <v>44</v>
      </c>
      <c r="B92" s="23" t="s">
        <v>74</v>
      </c>
      <c r="C92" s="24" t="s">
        <v>18</v>
      </c>
      <c r="D92" s="23"/>
      <c r="E92" s="23" t="s">
        <v>19</v>
      </c>
      <c r="F92" s="23" t="s">
        <v>179</v>
      </c>
      <c r="G92" s="23" t="s">
        <v>142</v>
      </c>
      <c r="H92" s="25"/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ht="15" customHeight="1">
      <c r="A93" s="24">
        <v>45</v>
      </c>
      <c r="B93" s="23" t="s">
        <v>75</v>
      </c>
      <c r="C93" s="24" t="s">
        <v>18</v>
      </c>
      <c r="D93" s="23"/>
      <c r="E93" s="23" t="s">
        <v>76</v>
      </c>
      <c r="F93" s="23" t="s">
        <v>180</v>
      </c>
      <c r="G93" s="23" t="s">
        <v>142</v>
      </c>
      <c r="H93" s="25"/>
      <c r="I93" s="1"/>
      <c r="J93" s="26"/>
      <c r="K93" s="27">
        <f t="shared" si="3"/>
        <v>0</v>
      </c>
      <c r="L93" s="27"/>
      <c r="M93" s="27"/>
      <c r="N93" s="1"/>
      <c r="O93" s="27">
        <f>P93+Q93</f>
        <v>0</v>
      </c>
      <c r="P93" s="27"/>
      <c r="Q93" s="27"/>
      <c r="R93" s="20"/>
    </row>
    <row r="94" spans="1:38" ht="13.15" customHeight="1">
      <c r="A94" s="24"/>
      <c r="B94" s="23" t="s">
        <v>75</v>
      </c>
      <c r="C94" s="24" t="s">
        <v>18</v>
      </c>
      <c r="D94" s="23"/>
      <c r="E94" s="23" t="s">
        <v>133</v>
      </c>
      <c r="F94" s="23" t="s">
        <v>250</v>
      </c>
      <c r="G94" s="23" t="s">
        <v>131</v>
      </c>
      <c r="H94" s="25"/>
      <c r="I94" s="1"/>
      <c r="J94" s="26"/>
      <c r="K94" s="27">
        <f t="shared" si="3"/>
        <v>0</v>
      </c>
      <c r="L94" s="27"/>
      <c r="M94" s="27"/>
      <c r="N94" s="1"/>
      <c r="O94" s="27">
        <v>0</v>
      </c>
      <c r="P94" s="27"/>
      <c r="Q94" s="27"/>
      <c r="R94" s="20"/>
    </row>
    <row r="95" spans="1:38" ht="15" customHeight="1">
      <c r="A95" s="24"/>
      <c r="B95" s="23" t="s">
        <v>140</v>
      </c>
      <c r="C95" s="24" t="s">
        <v>18</v>
      </c>
      <c r="D95" s="23"/>
      <c r="E95" s="23" t="s">
        <v>76</v>
      </c>
      <c r="F95" s="23" t="s">
        <v>230</v>
      </c>
      <c r="G95" s="23" t="s">
        <v>136</v>
      </c>
      <c r="H95" s="25"/>
      <c r="I95" s="2"/>
      <c r="J95" s="26"/>
      <c r="K95" s="27">
        <f t="shared" si="3"/>
        <v>0</v>
      </c>
      <c r="L95" s="27"/>
      <c r="M95" s="27"/>
      <c r="N95" s="2"/>
      <c r="O95" s="27">
        <f>P95+Q95</f>
        <v>0</v>
      </c>
      <c r="P95" s="27"/>
      <c r="Q95" s="27"/>
      <c r="R95" s="20"/>
    </row>
    <row r="96" spans="1:38" s="17" customFormat="1" ht="15" customHeight="1">
      <c r="A96" s="24">
        <v>46</v>
      </c>
      <c r="B96" s="23" t="s">
        <v>267</v>
      </c>
      <c r="C96" s="24" t="s">
        <v>18</v>
      </c>
      <c r="D96" s="23"/>
      <c r="E96" s="23" t="s">
        <v>132</v>
      </c>
      <c r="F96" s="23" t="s">
        <v>268</v>
      </c>
      <c r="G96" s="23" t="s">
        <v>142</v>
      </c>
      <c r="H96" s="25"/>
      <c r="I96" s="2"/>
      <c r="J96" s="26"/>
      <c r="K96" s="27">
        <f t="shared" si="3"/>
        <v>0</v>
      </c>
      <c r="L96" s="27"/>
      <c r="M96" s="27"/>
      <c r="N96" s="2"/>
      <c r="O96" s="27">
        <f>P96+Q96</f>
        <v>0</v>
      </c>
      <c r="P96" s="27"/>
      <c r="Q96" s="27"/>
      <c r="R96" s="20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:38" s="17" customFormat="1" ht="15" customHeight="1">
      <c r="A97" s="24"/>
      <c r="B97" s="23" t="s">
        <v>267</v>
      </c>
      <c r="C97" s="24" t="s">
        <v>18</v>
      </c>
      <c r="D97" s="23"/>
      <c r="E97" s="23" t="s">
        <v>132</v>
      </c>
      <c r="F97" s="23" t="s">
        <v>271</v>
      </c>
      <c r="G97" s="23" t="s">
        <v>131</v>
      </c>
      <c r="H97" s="25"/>
      <c r="I97" s="2"/>
      <c r="J97" s="26"/>
      <c r="K97" s="27">
        <f t="shared" si="3"/>
        <v>0</v>
      </c>
      <c r="L97" s="27"/>
      <c r="M97" s="27"/>
      <c r="N97" s="2"/>
      <c r="O97" s="27"/>
      <c r="P97" s="27"/>
      <c r="Q97" s="27"/>
      <c r="R97" s="20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:38" ht="15" customHeight="1">
      <c r="A98" s="24"/>
      <c r="B98" s="23" t="s">
        <v>267</v>
      </c>
      <c r="C98" s="24" t="s">
        <v>18</v>
      </c>
      <c r="D98" s="23"/>
      <c r="E98" s="23" t="s">
        <v>132</v>
      </c>
      <c r="F98" s="23" t="s">
        <v>284</v>
      </c>
      <c r="G98" s="23" t="s">
        <v>122</v>
      </c>
      <c r="H98" s="25"/>
      <c r="I98" s="2"/>
      <c r="J98" s="26"/>
      <c r="K98" s="27">
        <f t="shared" si="3"/>
        <v>0</v>
      </c>
      <c r="L98" s="27"/>
      <c r="M98" s="27"/>
      <c r="N98" s="2"/>
      <c r="O98" s="27"/>
      <c r="P98" s="27"/>
      <c r="Q98" s="27"/>
      <c r="R98" s="20"/>
    </row>
    <row r="99" spans="1:38" ht="30.75" customHeight="1">
      <c r="A99" s="24">
        <v>47</v>
      </c>
      <c r="B99" s="23" t="s">
        <v>78</v>
      </c>
      <c r="C99" s="24" t="s">
        <v>18</v>
      </c>
      <c r="D99" s="23" t="s">
        <v>276</v>
      </c>
      <c r="E99" s="23" t="s">
        <v>19</v>
      </c>
      <c r="F99" s="23" t="s">
        <v>181</v>
      </c>
      <c r="G99" s="23" t="s">
        <v>142</v>
      </c>
      <c r="H99" s="25">
        <v>2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s="7" customFormat="1" ht="15" customHeight="1">
      <c r="A100" s="24"/>
      <c r="B100" s="23" t="s">
        <v>78</v>
      </c>
      <c r="C100" s="24" t="s">
        <v>18</v>
      </c>
      <c r="D100" s="23"/>
      <c r="E100" s="23" t="s">
        <v>19</v>
      </c>
      <c r="F100" s="23" t="s">
        <v>120</v>
      </c>
      <c r="G100" s="23" t="s">
        <v>131</v>
      </c>
      <c r="H100" s="25"/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ht="15" customHeight="1">
      <c r="A101" s="24"/>
      <c r="B101" s="23" t="s">
        <v>78</v>
      </c>
      <c r="C101" s="24" t="s">
        <v>18</v>
      </c>
      <c r="D101" s="23"/>
      <c r="E101" s="23" t="s">
        <v>19</v>
      </c>
      <c r="F101" s="23" t="s">
        <v>120</v>
      </c>
      <c r="G101" s="23" t="s">
        <v>122</v>
      </c>
      <c r="H101" s="25"/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ht="15" customHeight="1">
      <c r="A102" s="24">
        <v>48</v>
      </c>
      <c r="B102" s="23" t="s">
        <v>79</v>
      </c>
      <c r="C102" s="24" t="s">
        <v>18</v>
      </c>
      <c r="D102" s="23"/>
      <c r="E102" s="23" t="s">
        <v>19</v>
      </c>
      <c r="F102" s="23"/>
      <c r="G102" s="23" t="s">
        <v>142</v>
      </c>
      <c r="H102" s="25"/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49</v>
      </c>
      <c r="B103" s="23" t="s">
        <v>80</v>
      </c>
      <c r="C103" s="24" t="s">
        <v>18</v>
      </c>
      <c r="D103" s="23"/>
      <c r="E103" s="23" t="s">
        <v>19</v>
      </c>
      <c r="F103" s="23" t="s">
        <v>243</v>
      </c>
      <c r="G103" s="23" t="s">
        <v>142</v>
      </c>
      <c r="H103" s="25">
        <v>1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/>
      <c r="B104" s="23" t="s">
        <v>80</v>
      </c>
      <c r="C104" s="24" t="s">
        <v>18</v>
      </c>
      <c r="D104" s="23"/>
      <c r="E104" s="23" t="s">
        <v>19</v>
      </c>
      <c r="F104" s="23" t="s">
        <v>120</v>
      </c>
      <c r="G104" s="23" t="s">
        <v>122</v>
      </c>
      <c r="H104" s="25"/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50</v>
      </c>
      <c r="B105" s="23" t="s">
        <v>81</v>
      </c>
      <c r="C105" s="24" t="s">
        <v>18</v>
      </c>
      <c r="D105" s="23"/>
      <c r="E105" s="23" t="s">
        <v>19</v>
      </c>
      <c r="F105" s="23" t="s">
        <v>182</v>
      </c>
      <c r="G105" s="23" t="s">
        <v>142</v>
      </c>
      <c r="H105" s="25"/>
      <c r="I105" s="1"/>
      <c r="J105" s="26"/>
      <c r="K105" s="27">
        <f t="shared" si="3"/>
        <v>0</v>
      </c>
      <c r="L105" s="27"/>
      <c r="M105" s="27"/>
      <c r="N105" s="1"/>
      <c r="O105" s="27">
        <f t="shared" si="4"/>
        <v>0</v>
      </c>
      <c r="P105" s="27"/>
      <c r="Q105" s="27"/>
      <c r="R105" s="20"/>
    </row>
    <row r="106" spans="1:38" ht="15" customHeight="1">
      <c r="A106" s="24"/>
      <c r="B106" s="23" t="s">
        <v>81</v>
      </c>
      <c r="C106" s="24" t="s">
        <v>18</v>
      </c>
      <c r="D106" s="23"/>
      <c r="E106" s="23" t="s">
        <v>19</v>
      </c>
      <c r="F106" s="23" t="s">
        <v>283</v>
      </c>
      <c r="G106" s="23" t="s">
        <v>122</v>
      </c>
      <c r="H106" s="25"/>
      <c r="I106" s="1"/>
      <c r="J106" s="26"/>
      <c r="K106" s="27"/>
      <c r="L106" s="27"/>
      <c r="M106" s="27"/>
      <c r="N106" s="1"/>
      <c r="O106" s="27"/>
      <c r="P106" s="27"/>
      <c r="Q106" s="27"/>
      <c r="R106" s="20"/>
    </row>
    <row r="107" spans="1:38" s="7" customFormat="1" ht="15" customHeight="1">
      <c r="A107" s="24">
        <v>51</v>
      </c>
      <c r="B107" s="23" t="s">
        <v>82</v>
      </c>
      <c r="C107" s="24" t="s">
        <v>18</v>
      </c>
      <c r="D107" s="23"/>
      <c r="E107" s="23" t="s">
        <v>19</v>
      </c>
      <c r="F107" s="23" t="s">
        <v>183</v>
      </c>
      <c r="G107" s="23" t="s">
        <v>142</v>
      </c>
      <c r="H107" s="25">
        <v>1</v>
      </c>
      <c r="I107" s="1"/>
      <c r="J107" s="26"/>
      <c r="K107" s="27">
        <f t="shared" si="3"/>
        <v>0</v>
      </c>
      <c r="L107" s="27"/>
      <c r="M107" s="27"/>
      <c r="N107" s="1"/>
      <c r="O107" s="27">
        <f t="shared" si="4"/>
        <v>0</v>
      </c>
      <c r="P107" s="27"/>
      <c r="Q107" s="27"/>
      <c r="R107" s="20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 spans="1:38" s="7" customFormat="1" ht="15" customHeight="1">
      <c r="A108" s="24"/>
      <c r="B108" s="23" t="s">
        <v>82</v>
      </c>
      <c r="C108" s="24" t="s">
        <v>18</v>
      </c>
      <c r="D108" s="23"/>
      <c r="E108" s="23" t="s">
        <v>19</v>
      </c>
      <c r="F108" s="23" t="s">
        <v>226</v>
      </c>
      <c r="G108" s="23" t="s">
        <v>122</v>
      </c>
      <c r="H108" s="25"/>
      <c r="I108" s="1"/>
      <c r="J108" s="26"/>
      <c r="K108" s="27">
        <f t="shared" si="3"/>
        <v>0</v>
      </c>
      <c r="L108" s="27"/>
      <c r="M108" s="27"/>
      <c r="N108" s="1"/>
      <c r="O108" s="27">
        <f t="shared" si="4"/>
        <v>0</v>
      </c>
      <c r="P108" s="27"/>
      <c r="Q108" s="27"/>
      <c r="R108" s="20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 spans="1:38" ht="14.45" customHeight="1">
      <c r="A109" s="24">
        <v>52</v>
      </c>
      <c r="B109" s="23" t="s">
        <v>83</v>
      </c>
      <c r="C109" s="24" t="s">
        <v>30</v>
      </c>
      <c r="D109" s="23" t="s">
        <v>184</v>
      </c>
      <c r="E109" s="23" t="s">
        <v>19</v>
      </c>
      <c r="F109" s="23" t="s">
        <v>185</v>
      </c>
      <c r="G109" s="23" t="s">
        <v>142</v>
      </c>
      <c r="H109" s="25">
        <v>1</v>
      </c>
      <c r="I109" s="1"/>
      <c r="J109" s="26"/>
      <c r="K109" s="27">
        <f t="shared" si="3"/>
        <v>0</v>
      </c>
      <c r="L109" s="27"/>
      <c r="M109" s="27"/>
      <c r="N109" s="1"/>
      <c r="O109" s="27">
        <f t="shared" si="4"/>
        <v>0</v>
      </c>
      <c r="P109" s="27"/>
      <c r="Q109" s="27"/>
      <c r="R109" s="20"/>
    </row>
    <row r="110" spans="1:38" s="7" customFormat="1" ht="15" customHeight="1">
      <c r="A110" s="24">
        <v>53</v>
      </c>
      <c r="B110" s="23" t="s">
        <v>84</v>
      </c>
      <c r="C110" s="24" t="s">
        <v>18</v>
      </c>
      <c r="D110" s="23"/>
      <c r="E110" s="23" t="s">
        <v>19</v>
      </c>
      <c r="F110" s="23" t="s">
        <v>186</v>
      </c>
      <c r="G110" s="23" t="s">
        <v>142</v>
      </c>
      <c r="H110" s="25"/>
      <c r="I110" s="1"/>
      <c r="J110" s="26"/>
      <c r="K110" s="27">
        <f t="shared" si="3"/>
        <v>0</v>
      </c>
      <c r="L110" s="27"/>
      <c r="M110" s="27"/>
      <c r="N110" s="1"/>
      <c r="O110" s="27">
        <f t="shared" si="4"/>
        <v>0</v>
      </c>
      <c r="P110" s="27"/>
      <c r="Q110" s="27"/>
      <c r="R110" s="20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</row>
    <row r="111" spans="1:38" ht="15" customHeight="1">
      <c r="A111" s="24"/>
      <c r="B111" s="23" t="s">
        <v>84</v>
      </c>
      <c r="C111" s="24" t="s">
        <v>18</v>
      </c>
      <c r="D111" s="23"/>
      <c r="E111" s="23" t="s">
        <v>19</v>
      </c>
      <c r="F111" s="23" t="s">
        <v>262</v>
      </c>
      <c r="G111" s="23" t="s">
        <v>122</v>
      </c>
      <c r="H111" s="25"/>
      <c r="I111" s="1"/>
      <c r="J111" s="26"/>
      <c r="K111" s="27">
        <f t="shared" si="3"/>
        <v>0</v>
      </c>
      <c r="L111" s="27"/>
      <c r="M111" s="27"/>
      <c r="N111" s="1"/>
      <c r="O111" s="27">
        <f t="shared" si="4"/>
        <v>0</v>
      </c>
      <c r="P111" s="27"/>
      <c r="Q111" s="27"/>
      <c r="R111" s="20"/>
    </row>
    <row r="112" spans="1:38" ht="15" customHeight="1">
      <c r="A112" s="24">
        <v>54</v>
      </c>
      <c r="B112" s="23" t="s">
        <v>85</v>
      </c>
      <c r="C112" s="24" t="s">
        <v>18</v>
      </c>
      <c r="D112" s="23"/>
      <c r="E112" s="23" t="s">
        <v>77</v>
      </c>
      <c r="F112" s="23" t="s">
        <v>187</v>
      </c>
      <c r="G112" s="23" t="s">
        <v>142</v>
      </c>
      <c r="H112" s="25">
        <v>1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20"/>
    </row>
    <row r="113" spans="1:38" ht="15" customHeight="1">
      <c r="A113" s="24"/>
      <c r="B113" s="23" t="s">
        <v>85</v>
      </c>
      <c r="C113" s="24" t="s">
        <v>18</v>
      </c>
      <c r="D113" s="23"/>
      <c r="E113" s="23" t="s">
        <v>134</v>
      </c>
      <c r="F113" s="23" t="s">
        <v>251</v>
      </c>
      <c r="G113" s="23" t="s">
        <v>131</v>
      </c>
      <c r="H113" s="25"/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20"/>
    </row>
    <row r="114" spans="1:38" ht="15" customHeight="1">
      <c r="A114" s="24">
        <v>55</v>
      </c>
      <c r="B114" s="23" t="s">
        <v>86</v>
      </c>
      <c r="C114" s="24" t="s">
        <v>18</v>
      </c>
      <c r="D114" s="23"/>
      <c r="E114" s="23" t="s">
        <v>77</v>
      </c>
      <c r="F114" s="23" t="s">
        <v>188</v>
      </c>
      <c r="G114" s="23" t="s">
        <v>142</v>
      </c>
      <c r="H114" s="25"/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</row>
    <row r="115" spans="1:38" ht="15" customHeight="1">
      <c r="A115" s="24"/>
      <c r="B115" s="23" t="s">
        <v>86</v>
      </c>
      <c r="C115" s="24" t="s">
        <v>18</v>
      </c>
      <c r="D115" s="23"/>
      <c r="E115" s="23" t="s">
        <v>134</v>
      </c>
      <c r="F115" s="23" t="s">
        <v>252</v>
      </c>
      <c r="G115" s="23" t="s">
        <v>131</v>
      </c>
      <c r="H115" s="25"/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</row>
    <row r="116" spans="1:38" ht="28.9" customHeight="1">
      <c r="A116" s="29">
        <v>56</v>
      </c>
      <c r="B116" s="30" t="s">
        <v>87</v>
      </c>
      <c r="C116" s="29" t="s">
        <v>52</v>
      </c>
      <c r="D116" s="30" t="s">
        <v>88</v>
      </c>
      <c r="E116" s="30" t="s">
        <v>19</v>
      </c>
      <c r="F116" s="30" t="s">
        <v>189</v>
      </c>
      <c r="G116" s="30" t="s">
        <v>142</v>
      </c>
      <c r="H116" s="25"/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29.25" customHeight="1">
      <c r="A117" s="29"/>
      <c r="B117" s="30" t="s">
        <v>87</v>
      </c>
      <c r="C117" s="29" t="s">
        <v>52</v>
      </c>
      <c r="D117" s="30" t="s">
        <v>88</v>
      </c>
      <c r="E117" s="30" t="s">
        <v>19</v>
      </c>
      <c r="F117" s="30" t="s">
        <v>234</v>
      </c>
      <c r="G117" s="30" t="s">
        <v>122</v>
      </c>
      <c r="H117" s="25"/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26.25" customHeight="1">
      <c r="A118" s="24">
        <v>57</v>
      </c>
      <c r="B118" s="23" t="s">
        <v>89</v>
      </c>
      <c r="C118" s="24" t="s">
        <v>18</v>
      </c>
      <c r="D118" s="23"/>
      <c r="E118" s="23" t="s">
        <v>19</v>
      </c>
      <c r="F118" s="23" t="s">
        <v>190</v>
      </c>
      <c r="G118" s="23" t="s">
        <v>142</v>
      </c>
      <c r="H118" s="25"/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7" customFormat="1" ht="15" customHeight="1">
      <c r="A119" s="24"/>
      <c r="B119" s="23" t="s">
        <v>89</v>
      </c>
      <c r="C119" s="24" t="s">
        <v>18</v>
      </c>
      <c r="D119" s="23"/>
      <c r="E119" s="23" t="s">
        <v>19</v>
      </c>
      <c r="F119" s="23" t="s">
        <v>266</v>
      </c>
      <c r="G119" s="23" t="s">
        <v>122</v>
      </c>
      <c r="H119" s="25"/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ht="15" customHeight="1">
      <c r="A120" s="24">
        <v>58</v>
      </c>
      <c r="B120" s="23" t="s">
        <v>90</v>
      </c>
      <c r="C120" s="24" t="s">
        <v>18</v>
      </c>
      <c r="D120" s="23"/>
      <c r="E120" s="23" t="s">
        <v>19</v>
      </c>
      <c r="F120" s="23" t="s">
        <v>191</v>
      </c>
      <c r="G120" s="23" t="s">
        <v>142</v>
      </c>
      <c r="H120" s="25">
        <v>1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s="7" customFormat="1" ht="15" customHeight="1">
      <c r="A121" s="24">
        <v>59</v>
      </c>
      <c r="B121" s="23" t="s">
        <v>91</v>
      </c>
      <c r="C121" s="24" t="s">
        <v>18</v>
      </c>
      <c r="D121" s="23"/>
      <c r="E121" s="23" t="s">
        <v>92</v>
      </c>
      <c r="F121" s="23" t="s">
        <v>192</v>
      </c>
      <c r="G121" s="23" t="s">
        <v>142</v>
      </c>
      <c r="H121" s="25"/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91</v>
      </c>
      <c r="C122" s="24" t="s">
        <v>18</v>
      </c>
      <c r="D122" s="23"/>
      <c r="E122" s="23" t="s">
        <v>92</v>
      </c>
      <c r="F122" s="23" t="s">
        <v>246</v>
      </c>
      <c r="G122" s="23" t="s">
        <v>136</v>
      </c>
      <c r="H122" s="25"/>
      <c r="I122" s="2"/>
      <c r="J122" s="26"/>
      <c r="K122" s="27">
        <f t="shared" si="3"/>
        <v>0</v>
      </c>
      <c r="L122" s="27"/>
      <c r="M122" s="27"/>
      <c r="N122" s="2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ht="15" customHeight="1">
      <c r="A123" s="24">
        <v>60</v>
      </c>
      <c r="B123" s="23" t="s">
        <v>93</v>
      </c>
      <c r="C123" s="24" t="s">
        <v>18</v>
      </c>
      <c r="D123" s="23"/>
      <c r="E123" s="23" t="s">
        <v>19</v>
      </c>
      <c r="F123" s="23" t="s">
        <v>123</v>
      </c>
      <c r="G123" s="23" t="s">
        <v>142</v>
      </c>
      <c r="H123" s="25"/>
      <c r="I123" s="2"/>
      <c r="J123" s="26"/>
      <c r="K123" s="27">
        <f t="shared" si="3"/>
        <v>0</v>
      </c>
      <c r="L123" s="27"/>
      <c r="M123" s="27"/>
      <c r="N123" s="2"/>
      <c r="O123" s="27">
        <f t="shared" si="4"/>
        <v>0</v>
      </c>
      <c r="P123" s="27"/>
      <c r="Q123" s="27"/>
      <c r="R123" s="20"/>
    </row>
    <row r="124" spans="1:38" s="17" customFormat="1" ht="15" customHeight="1">
      <c r="A124" s="24"/>
      <c r="B124" s="23" t="s">
        <v>93</v>
      </c>
      <c r="C124" s="24" t="s">
        <v>18</v>
      </c>
      <c r="D124" s="23"/>
      <c r="E124" s="23" t="s">
        <v>19</v>
      </c>
      <c r="F124" s="23" t="s">
        <v>253</v>
      </c>
      <c r="G124" s="23" t="s">
        <v>131</v>
      </c>
      <c r="H124" s="25"/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</row>
    <row r="125" spans="1:38" ht="15" customHeight="1">
      <c r="A125" s="24"/>
      <c r="B125" s="23" t="s">
        <v>93</v>
      </c>
      <c r="C125" s="24" t="s">
        <v>18</v>
      </c>
      <c r="D125" s="23"/>
      <c r="E125" s="23"/>
      <c r="F125" s="23" t="s">
        <v>261</v>
      </c>
      <c r="G125" s="23" t="s">
        <v>122</v>
      </c>
      <c r="H125" s="25"/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</row>
    <row r="126" spans="1:38" ht="15" customHeight="1">
      <c r="A126" s="24">
        <v>61</v>
      </c>
      <c r="B126" s="23" t="s">
        <v>281</v>
      </c>
      <c r="C126" s="24" t="s">
        <v>18</v>
      </c>
      <c r="D126" s="23"/>
      <c r="E126" s="23" t="s">
        <v>280</v>
      </c>
      <c r="F126" s="23" t="s">
        <v>279</v>
      </c>
      <c r="G126" s="23" t="s">
        <v>142</v>
      </c>
      <c r="H126" s="25"/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</row>
    <row r="127" spans="1:38" ht="15" customHeight="1">
      <c r="A127" s="24"/>
      <c r="B127" s="23" t="s">
        <v>281</v>
      </c>
      <c r="C127" s="24" t="s">
        <v>18</v>
      </c>
      <c r="D127" s="23"/>
      <c r="E127" s="23" t="s">
        <v>19</v>
      </c>
      <c r="F127" s="23" t="s">
        <v>285</v>
      </c>
      <c r="G127" s="23" t="s">
        <v>131</v>
      </c>
      <c r="H127" s="25"/>
      <c r="I127" s="1"/>
      <c r="J127" s="26"/>
      <c r="K127" s="27">
        <f t="shared" si="3"/>
        <v>0</v>
      </c>
      <c r="L127" s="27"/>
      <c r="M127" s="27"/>
      <c r="N127" s="1"/>
      <c r="O127" s="27"/>
      <c r="P127" s="27"/>
      <c r="Q127" s="27"/>
      <c r="R127" s="20"/>
    </row>
    <row r="128" spans="1:38" ht="15" customHeight="1">
      <c r="A128" s="24"/>
      <c r="B128" s="23" t="s">
        <v>281</v>
      </c>
      <c r="C128" s="24" t="s">
        <v>18</v>
      </c>
      <c r="D128" s="23"/>
      <c r="E128" s="23" t="s">
        <v>19</v>
      </c>
      <c r="F128" s="23" t="s">
        <v>282</v>
      </c>
      <c r="G128" s="23" t="s">
        <v>122</v>
      </c>
      <c r="H128" s="25"/>
      <c r="I128" s="1"/>
      <c r="J128" s="26"/>
      <c r="K128" s="27">
        <f t="shared" si="3"/>
        <v>0</v>
      </c>
      <c r="L128" s="27"/>
      <c r="M128" s="27"/>
      <c r="N128" s="1"/>
      <c r="O128" s="27">
        <f t="shared" si="4"/>
        <v>0</v>
      </c>
      <c r="P128" s="27"/>
      <c r="Q128" s="27"/>
      <c r="R128" s="20"/>
    </row>
    <row r="129" spans="1:38" ht="15" customHeight="1">
      <c r="A129" s="24">
        <v>62</v>
      </c>
      <c r="B129" s="23" t="s">
        <v>94</v>
      </c>
      <c r="C129" s="24" t="s">
        <v>18</v>
      </c>
      <c r="D129" s="23"/>
      <c r="E129" s="23" t="s">
        <v>95</v>
      </c>
      <c r="F129" s="23" t="s">
        <v>193</v>
      </c>
      <c r="G129" s="23" t="s">
        <v>142</v>
      </c>
      <c r="H129" s="25">
        <v>2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/>
      <c r="B130" s="23" t="s">
        <v>128</v>
      </c>
      <c r="C130" s="24" t="s">
        <v>18</v>
      </c>
      <c r="D130" s="23"/>
      <c r="E130" s="23" t="s">
        <v>95</v>
      </c>
      <c r="F130" s="23" t="s">
        <v>257</v>
      </c>
      <c r="G130" s="23" t="s">
        <v>124</v>
      </c>
      <c r="H130" s="25"/>
      <c r="I130" s="1"/>
      <c r="J130" s="26"/>
      <c r="K130" s="27">
        <f t="shared" si="3"/>
        <v>0</v>
      </c>
      <c r="L130" s="27"/>
      <c r="M130" s="27"/>
      <c r="N130" s="1"/>
      <c r="O130" s="27">
        <f t="shared" si="4"/>
        <v>0</v>
      </c>
      <c r="P130" s="27"/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128</v>
      </c>
      <c r="C131" s="24" t="s">
        <v>18</v>
      </c>
      <c r="D131" s="23"/>
      <c r="E131" s="23" t="s">
        <v>95</v>
      </c>
      <c r="F131" s="23" t="s">
        <v>123</v>
      </c>
      <c r="G131" s="23" t="s">
        <v>131</v>
      </c>
      <c r="H131" s="25"/>
      <c r="I131" s="2"/>
      <c r="J131" s="26"/>
      <c r="K131" s="27">
        <f t="shared" si="3"/>
        <v>0</v>
      </c>
      <c r="L131" s="27"/>
      <c r="M131" s="27"/>
      <c r="N131" s="2"/>
      <c r="O131" s="27">
        <f t="shared" si="4"/>
        <v>0</v>
      </c>
      <c r="P131" s="27"/>
      <c r="Q131" s="27"/>
      <c r="R131" s="20"/>
    </row>
    <row r="132" spans="1:38" ht="15" customHeight="1">
      <c r="A132" s="24">
        <v>63</v>
      </c>
      <c r="B132" s="23" t="s">
        <v>96</v>
      </c>
      <c r="C132" s="24" t="s">
        <v>18</v>
      </c>
      <c r="D132" s="23"/>
      <c r="E132" s="23" t="s">
        <v>19</v>
      </c>
      <c r="F132" s="23" t="s">
        <v>194</v>
      </c>
      <c r="G132" s="23" t="s">
        <v>142</v>
      </c>
      <c r="H132" s="25"/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ht="15" customHeight="1">
      <c r="A133" s="24"/>
      <c r="B133" s="23" t="s">
        <v>96</v>
      </c>
      <c r="C133" s="24" t="s">
        <v>18</v>
      </c>
      <c r="D133" s="23"/>
      <c r="E133" s="23" t="s">
        <v>19</v>
      </c>
      <c r="F133" s="23" t="s">
        <v>254</v>
      </c>
      <c r="G133" s="23" t="s">
        <v>131</v>
      </c>
      <c r="H133" s="25"/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15" customHeight="1">
      <c r="A134" s="24"/>
      <c r="B134" s="23" t="s">
        <v>96</v>
      </c>
      <c r="C134" s="24" t="s">
        <v>18</v>
      </c>
      <c r="D134" s="23"/>
      <c r="E134" s="23" t="s">
        <v>19</v>
      </c>
      <c r="F134" s="23" t="s">
        <v>269</v>
      </c>
      <c r="G134" s="23" t="s">
        <v>122</v>
      </c>
      <c r="H134" s="25"/>
      <c r="I134" s="1"/>
      <c r="J134" s="26"/>
      <c r="K134" s="27">
        <f t="shared" si="3"/>
        <v>0</v>
      </c>
      <c r="L134" s="27"/>
      <c r="M134" s="27"/>
      <c r="N134" s="1"/>
      <c r="O134" s="27">
        <f t="shared" si="4"/>
        <v>0</v>
      </c>
      <c r="P134" s="27"/>
      <c r="Q134" s="27"/>
      <c r="R134" s="20"/>
    </row>
    <row r="135" spans="1:38" ht="15" customHeight="1">
      <c r="A135" s="24"/>
      <c r="B135" s="23" t="s">
        <v>96</v>
      </c>
      <c r="C135" s="24" t="s">
        <v>18</v>
      </c>
      <c r="D135" s="23"/>
      <c r="E135" s="22" t="s">
        <v>19</v>
      </c>
      <c r="F135" s="22" t="s">
        <v>275</v>
      </c>
      <c r="G135" s="22" t="s">
        <v>136</v>
      </c>
      <c r="H135" s="45"/>
      <c r="I135" s="1"/>
      <c r="J135" s="26"/>
      <c r="K135" s="27">
        <f t="shared" si="3"/>
        <v>0</v>
      </c>
      <c r="L135" s="27"/>
      <c r="M135" s="27"/>
      <c r="N135" s="1"/>
      <c r="O135" s="27">
        <f t="shared" si="4"/>
        <v>0</v>
      </c>
      <c r="P135" s="27"/>
      <c r="Q135" s="27"/>
      <c r="R135" s="20"/>
    </row>
    <row r="136" spans="1:38" ht="15" customHeight="1">
      <c r="A136" s="24">
        <v>64</v>
      </c>
      <c r="B136" s="23" t="s">
        <v>97</v>
      </c>
      <c r="C136" s="24" t="s">
        <v>18</v>
      </c>
      <c r="D136" s="23"/>
      <c r="E136" s="23" t="s">
        <v>19</v>
      </c>
      <c r="F136" s="23" t="s">
        <v>195</v>
      </c>
      <c r="G136" s="23" t="s">
        <v>142</v>
      </c>
      <c r="H136" s="25"/>
      <c r="I136" s="1"/>
      <c r="J136" s="26"/>
      <c r="K136" s="27">
        <f t="shared" si="3"/>
        <v>0</v>
      </c>
      <c r="L136" s="27"/>
      <c r="M136" s="27"/>
      <c r="N136" s="1"/>
      <c r="O136" s="27">
        <f t="shared" si="4"/>
        <v>0</v>
      </c>
      <c r="P136" s="27"/>
      <c r="Q136" s="27"/>
      <c r="R136" s="20"/>
    </row>
    <row r="137" spans="1:38" ht="15" customHeight="1">
      <c r="A137" s="24">
        <v>65</v>
      </c>
      <c r="B137" s="23" t="s">
        <v>98</v>
      </c>
      <c r="C137" s="24" t="s">
        <v>18</v>
      </c>
      <c r="D137" s="23"/>
      <c r="E137" s="23" t="s">
        <v>19</v>
      </c>
      <c r="F137" s="23" t="s">
        <v>196</v>
      </c>
      <c r="G137" s="23" t="s">
        <v>142</v>
      </c>
      <c r="H137" s="25">
        <v>1</v>
      </c>
      <c r="I137" s="1"/>
      <c r="J137" s="26"/>
      <c r="K137" s="27">
        <f t="shared" si="3"/>
        <v>0</v>
      </c>
      <c r="L137" s="27"/>
      <c r="M137" s="27"/>
      <c r="N137" s="1"/>
      <c r="O137" s="27">
        <f t="shared" si="4"/>
        <v>0</v>
      </c>
      <c r="P137" s="27"/>
      <c r="Q137" s="27"/>
      <c r="R137" s="20"/>
    </row>
    <row r="138" spans="1:38" ht="15" customHeight="1">
      <c r="A138" s="24">
        <v>66</v>
      </c>
      <c r="B138" s="23" t="s">
        <v>99</v>
      </c>
      <c r="C138" s="24" t="s">
        <v>18</v>
      </c>
      <c r="D138" s="23"/>
      <c r="E138" s="23" t="s">
        <v>19</v>
      </c>
      <c r="F138" s="23" t="s">
        <v>197</v>
      </c>
      <c r="G138" s="23" t="s">
        <v>142</v>
      </c>
      <c r="H138" s="25"/>
      <c r="I138" s="1"/>
      <c r="J138" s="26"/>
      <c r="K138" s="27">
        <f t="shared" si="3"/>
        <v>0</v>
      </c>
      <c r="L138" s="27"/>
      <c r="M138" s="27"/>
      <c r="N138" s="1"/>
      <c r="O138" s="27">
        <f t="shared" si="4"/>
        <v>0</v>
      </c>
      <c r="P138" s="27"/>
      <c r="Q138" s="27"/>
      <c r="R138" s="20"/>
    </row>
    <row r="139" spans="1:38" ht="24.6" customHeight="1">
      <c r="A139" s="29">
        <v>67</v>
      </c>
      <c r="B139" s="30" t="s">
        <v>100</v>
      </c>
      <c r="C139" s="29" t="s">
        <v>30</v>
      </c>
      <c r="D139" s="30" t="s">
        <v>101</v>
      </c>
      <c r="E139" s="30" t="s">
        <v>19</v>
      </c>
      <c r="F139" s="30" t="s">
        <v>198</v>
      </c>
      <c r="G139" s="30" t="s">
        <v>142</v>
      </c>
      <c r="H139" s="25"/>
      <c r="I139" s="1"/>
      <c r="J139" s="26"/>
      <c r="K139" s="27">
        <f t="shared" si="3"/>
        <v>0</v>
      </c>
      <c r="L139" s="27"/>
      <c r="M139" s="27"/>
      <c r="N139" s="1"/>
      <c r="O139" s="27">
        <f t="shared" si="4"/>
        <v>0</v>
      </c>
      <c r="P139" s="27"/>
      <c r="Q139" s="27"/>
      <c r="R139" s="20"/>
    </row>
    <row r="140" spans="1:38" s="7" customFormat="1" ht="29.25" customHeight="1">
      <c r="A140" s="29"/>
      <c r="B140" s="30" t="s">
        <v>100</v>
      </c>
      <c r="C140" s="29" t="s">
        <v>30</v>
      </c>
      <c r="D140" s="30" t="s">
        <v>101</v>
      </c>
      <c r="E140" s="30" t="s">
        <v>19</v>
      </c>
      <c r="F140" s="30" t="s">
        <v>272</v>
      </c>
      <c r="G140" s="30" t="s">
        <v>122</v>
      </c>
      <c r="H140" s="25"/>
      <c r="I140" s="1"/>
      <c r="J140" s="26"/>
      <c r="K140" s="27">
        <f t="shared" si="3"/>
        <v>0</v>
      </c>
      <c r="L140" s="27"/>
      <c r="M140" s="27"/>
      <c r="N140" s="1"/>
      <c r="O140" s="27">
        <f t="shared" si="4"/>
        <v>0</v>
      </c>
      <c r="P140" s="27"/>
      <c r="Q140" s="27"/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26.25" customHeight="1">
      <c r="A141" s="46">
        <v>68</v>
      </c>
      <c r="B141" s="60" t="s">
        <v>144</v>
      </c>
      <c r="C141" s="46" t="s">
        <v>18</v>
      </c>
      <c r="D141" s="60"/>
      <c r="E141" s="60"/>
      <c r="F141" s="60" t="s">
        <v>199</v>
      </c>
      <c r="G141" s="60" t="s">
        <v>142</v>
      </c>
      <c r="H141" s="61"/>
      <c r="I141" s="1"/>
      <c r="J141" s="26"/>
      <c r="K141" s="27">
        <f t="shared" si="3"/>
        <v>0</v>
      </c>
      <c r="L141" s="63"/>
      <c r="M141" s="63"/>
      <c r="N141" s="1"/>
      <c r="O141" s="63">
        <f t="shared" si="4"/>
        <v>0</v>
      </c>
      <c r="P141" s="63"/>
      <c r="Q141" s="63"/>
      <c r="R141" s="20"/>
    </row>
    <row r="142" spans="1:38" ht="15.75" customHeight="1">
      <c r="A142" s="24">
        <v>69</v>
      </c>
      <c r="B142" s="23" t="s">
        <v>102</v>
      </c>
      <c r="C142" s="24" t="s">
        <v>18</v>
      </c>
      <c r="D142" s="23"/>
      <c r="E142" s="23" t="s">
        <v>19</v>
      </c>
      <c r="F142" s="23"/>
      <c r="G142" s="23" t="s">
        <v>142</v>
      </c>
      <c r="H142" s="25"/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</row>
    <row r="143" spans="1:38" ht="15" customHeight="1">
      <c r="A143" s="24">
        <v>70</v>
      </c>
      <c r="B143" s="23" t="s">
        <v>103</v>
      </c>
      <c r="C143" s="24" t="s">
        <v>18</v>
      </c>
      <c r="D143" s="23"/>
      <c r="E143" s="23" t="s">
        <v>19</v>
      </c>
      <c r="F143" s="23" t="s">
        <v>200</v>
      </c>
      <c r="G143" s="23" t="s">
        <v>142</v>
      </c>
      <c r="H143" s="25"/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/>
      <c r="B144" s="23" t="s">
        <v>103</v>
      </c>
      <c r="C144" s="24" t="s">
        <v>18</v>
      </c>
      <c r="D144" s="23"/>
      <c r="E144" s="23" t="s">
        <v>19</v>
      </c>
      <c r="F144" s="23" t="s">
        <v>260</v>
      </c>
      <c r="G144" s="23" t="s">
        <v>122</v>
      </c>
      <c r="H144" s="25">
        <v>1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20"/>
    </row>
    <row r="145" spans="1:38" ht="24.75" customHeight="1">
      <c r="A145" s="29">
        <v>71</v>
      </c>
      <c r="B145" s="30" t="s">
        <v>105</v>
      </c>
      <c r="C145" s="29" t="s">
        <v>30</v>
      </c>
      <c r="D145" s="30" t="s">
        <v>106</v>
      </c>
      <c r="E145" s="30" t="s">
        <v>19</v>
      </c>
      <c r="F145" s="30" t="s">
        <v>201</v>
      </c>
      <c r="G145" s="30" t="s">
        <v>142</v>
      </c>
      <c r="H145" s="25">
        <v>2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0</v>
      </c>
      <c r="P145" s="27"/>
      <c r="Q145" s="27"/>
      <c r="R145" s="20"/>
    </row>
    <row r="146" spans="1:38" s="7" customFormat="1" ht="38.450000000000003" customHeight="1">
      <c r="A146" s="29">
        <v>72</v>
      </c>
      <c r="B146" s="30" t="s">
        <v>265</v>
      </c>
      <c r="C146" s="29" t="s">
        <v>18</v>
      </c>
      <c r="D146" s="30"/>
      <c r="E146" s="30" t="s">
        <v>19</v>
      </c>
      <c r="F146" s="30" t="s">
        <v>123</v>
      </c>
      <c r="G146" s="30" t="s">
        <v>142</v>
      </c>
      <c r="H146" s="25"/>
      <c r="I146" s="1"/>
      <c r="J146" s="26"/>
      <c r="K146" s="27">
        <f t="shared" ref="K146:K167" si="5">L146+M146</f>
        <v>0</v>
      </c>
      <c r="L146" s="27"/>
      <c r="M146" s="27"/>
      <c r="N146" s="1"/>
      <c r="O146" s="27">
        <f t="shared" si="4"/>
        <v>0</v>
      </c>
      <c r="P146" s="27"/>
      <c r="Q146" s="27"/>
      <c r="R146" s="20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</row>
    <row r="147" spans="1:38" s="7" customFormat="1" ht="38.450000000000003" customHeight="1">
      <c r="A147" s="24">
        <v>73</v>
      </c>
      <c r="B147" s="23" t="s">
        <v>107</v>
      </c>
      <c r="C147" s="24" t="s">
        <v>18</v>
      </c>
      <c r="D147" s="23"/>
      <c r="E147" s="23" t="s">
        <v>36</v>
      </c>
      <c r="F147" s="23" t="s">
        <v>202</v>
      </c>
      <c r="G147" s="23" t="s">
        <v>142</v>
      </c>
      <c r="H147" s="25"/>
      <c r="I147" s="1"/>
      <c r="J147" s="26"/>
      <c r="K147" s="27">
        <f t="shared" si="5"/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</row>
    <row r="148" spans="1:38" ht="15.75" customHeight="1">
      <c r="A148" s="24"/>
      <c r="B148" s="23" t="s">
        <v>107</v>
      </c>
      <c r="C148" s="24" t="s">
        <v>18</v>
      </c>
      <c r="D148" s="23"/>
      <c r="E148" s="23" t="s">
        <v>36</v>
      </c>
      <c r="F148" s="23" t="s">
        <v>219</v>
      </c>
      <c r="G148" s="23" t="s">
        <v>136</v>
      </c>
      <c r="H148" s="25"/>
      <c r="I148" s="2"/>
      <c r="J148" s="26"/>
      <c r="K148" s="27">
        <f t="shared" si="5"/>
        <v>0</v>
      </c>
      <c r="L148" s="27"/>
      <c r="M148" s="27"/>
      <c r="N148" s="2"/>
      <c r="O148" s="27">
        <f t="shared" si="4"/>
        <v>0</v>
      </c>
      <c r="P148" s="27"/>
      <c r="Q148" s="27"/>
      <c r="R148" s="20"/>
    </row>
    <row r="149" spans="1:38" ht="16.5" customHeight="1">
      <c r="A149" s="24">
        <v>74</v>
      </c>
      <c r="B149" s="23" t="s">
        <v>108</v>
      </c>
      <c r="C149" s="24" t="s">
        <v>18</v>
      </c>
      <c r="D149" s="23"/>
      <c r="E149" s="23" t="s">
        <v>19</v>
      </c>
      <c r="F149" s="23" t="s">
        <v>203</v>
      </c>
      <c r="G149" s="23" t="s">
        <v>142</v>
      </c>
      <c r="H149" s="25"/>
      <c r="I149" s="1"/>
      <c r="J149" s="26"/>
      <c r="K149" s="27">
        <f t="shared" si="5"/>
        <v>0</v>
      </c>
      <c r="L149" s="27"/>
      <c r="M149" s="27"/>
      <c r="N149" s="1"/>
      <c r="O149" s="27">
        <f t="shared" si="4"/>
        <v>0</v>
      </c>
      <c r="P149" s="27"/>
      <c r="Q149" s="27"/>
      <c r="R149" s="20"/>
    </row>
    <row r="150" spans="1:38" s="7" customFormat="1" ht="16.5" customHeight="1">
      <c r="A150" s="24"/>
      <c r="B150" s="23" t="s">
        <v>108</v>
      </c>
      <c r="C150" s="24" t="s">
        <v>18</v>
      </c>
      <c r="D150" s="23"/>
      <c r="E150" s="23" t="s">
        <v>19</v>
      </c>
      <c r="F150" s="23" t="s">
        <v>0</v>
      </c>
      <c r="G150" s="23" t="s">
        <v>122</v>
      </c>
      <c r="H150" s="25"/>
      <c r="I150" s="1"/>
      <c r="J150" s="26"/>
      <c r="K150" s="27">
        <f t="shared" si="5"/>
        <v>0</v>
      </c>
      <c r="L150" s="27"/>
      <c r="M150" s="27"/>
      <c r="N150" s="1"/>
      <c r="O150" s="27"/>
      <c r="P150" s="27"/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s="7" customFormat="1" ht="16.5" customHeight="1">
      <c r="A151" s="24">
        <v>75</v>
      </c>
      <c r="B151" s="23" t="s">
        <v>146</v>
      </c>
      <c r="C151" s="24" t="s">
        <v>18</v>
      </c>
      <c r="D151" s="23"/>
      <c r="E151" s="23" t="s">
        <v>104</v>
      </c>
      <c r="F151" s="23" t="s">
        <v>204</v>
      </c>
      <c r="G151" s="23" t="s">
        <v>142</v>
      </c>
      <c r="H151" s="25"/>
      <c r="I151" s="1"/>
      <c r="J151" s="26"/>
      <c r="K151" s="27">
        <f t="shared" si="5"/>
        <v>0</v>
      </c>
      <c r="L151" s="27"/>
      <c r="M151" s="27"/>
      <c r="N151" s="1"/>
      <c r="O151" s="27">
        <f t="shared" si="4"/>
        <v>0</v>
      </c>
      <c r="P151" s="27"/>
      <c r="Q151" s="27"/>
      <c r="R151" s="20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</row>
    <row r="152" spans="1:38" ht="23.45" customHeight="1">
      <c r="A152" s="29">
        <v>76</v>
      </c>
      <c r="B152" s="30" t="s">
        <v>109</v>
      </c>
      <c r="C152" s="29" t="s">
        <v>52</v>
      </c>
      <c r="D152" s="30" t="s">
        <v>110</v>
      </c>
      <c r="E152" s="30" t="s">
        <v>19</v>
      </c>
      <c r="F152" s="30" t="s">
        <v>205</v>
      </c>
      <c r="G152" s="30" t="s">
        <v>142</v>
      </c>
      <c r="H152" s="25"/>
      <c r="I152" s="1"/>
      <c r="J152" s="26"/>
      <c r="K152" s="27">
        <f t="shared" si="5"/>
        <v>0</v>
      </c>
      <c r="L152" s="27"/>
      <c r="M152" s="27"/>
      <c r="N152" s="1">
        <v>4</v>
      </c>
      <c r="O152" s="27">
        <f t="shared" si="4"/>
        <v>0</v>
      </c>
      <c r="P152" s="27"/>
      <c r="Q152" s="27"/>
      <c r="R152" s="20"/>
    </row>
    <row r="153" spans="1:38" s="7" customFormat="1" ht="27" customHeight="1">
      <c r="A153" s="29"/>
      <c r="B153" s="30" t="s">
        <v>109</v>
      </c>
      <c r="C153" s="29" t="s">
        <v>52</v>
      </c>
      <c r="D153" s="30" t="s">
        <v>110</v>
      </c>
      <c r="E153" s="30" t="s">
        <v>19</v>
      </c>
      <c r="F153" s="30" t="s">
        <v>227</v>
      </c>
      <c r="G153" s="30" t="s">
        <v>122</v>
      </c>
      <c r="H153" s="25"/>
      <c r="I153" s="1"/>
      <c r="J153" s="26"/>
      <c r="K153" s="27">
        <f t="shared" si="5"/>
        <v>0</v>
      </c>
      <c r="L153" s="27"/>
      <c r="M153" s="27"/>
      <c r="N153" s="1"/>
      <c r="O153" s="27">
        <f t="shared" si="4"/>
        <v>0</v>
      </c>
      <c r="P153" s="27"/>
      <c r="Q153" s="27"/>
      <c r="R153" s="20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 spans="1:38" ht="27.75" customHeight="1">
      <c r="A154" s="24">
        <v>77</v>
      </c>
      <c r="B154" s="23" t="s">
        <v>111</v>
      </c>
      <c r="C154" s="24" t="s">
        <v>18</v>
      </c>
      <c r="D154" s="23"/>
      <c r="E154" s="23" t="s">
        <v>112</v>
      </c>
      <c r="F154" s="23" t="s">
        <v>242</v>
      </c>
      <c r="G154" s="23" t="s">
        <v>142</v>
      </c>
      <c r="H154" s="25"/>
      <c r="I154" s="1"/>
      <c r="J154" s="26"/>
      <c r="K154" s="27">
        <f t="shared" si="5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6.5" customHeight="1">
      <c r="A155" s="24"/>
      <c r="B155" s="23" t="s">
        <v>111</v>
      </c>
      <c r="C155" s="24" t="s">
        <v>18</v>
      </c>
      <c r="D155" s="23"/>
      <c r="E155" s="23" t="s">
        <v>112</v>
      </c>
      <c r="F155" s="23" t="s">
        <v>256</v>
      </c>
      <c r="G155" s="23" t="s">
        <v>136</v>
      </c>
      <c r="H155" s="25"/>
      <c r="I155" s="2"/>
      <c r="J155" s="26"/>
      <c r="K155" s="27">
        <f t="shared" si="5"/>
        <v>0</v>
      </c>
      <c r="L155" s="27"/>
      <c r="M155" s="27"/>
      <c r="N155" s="2"/>
      <c r="O155" s="27">
        <f t="shared" si="4"/>
        <v>0</v>
      </c>
      <c r="P155" s="27"/>
      <c r="Q155" s="27"/>
      <c r="R155" s="20"/>
    </row>
    <row r="156" spans="1:38" ht="16.5" customHeight="1">
      <c r="A156" s="24">
        <v>78</v>
      </c>
      <c r="B156" s="23" t="s">
        <v>113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/>
      <c r="I156" s="1"/>
      <c r="J156" s="26"/>
      <c r="K156" s="27">
        <f t="shared" si="5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8.75" customHeight="1">
      <c r="A157" s="24"/>
      <c r="B157" s="23" t="s">
        <v>113</v>
      </c>
      <c r="C157" s="24" t="s">
        <v>18</v>
      </c>
      <c r="D157" s="23"/>
      <c r="E157" s="23" t="s">
        <v>19</v>
      </c>
      <c r="F157" s="23" t="s">
        <v>228</v>
      </c>
      <c r="G157" s="23" t="s">
        <v>122</v>
      </c>
      <c r="H157" s="25"/>
      <c r="I157" s="1"/>
      <c r="J157" s="26"/>
      <c r="K157" s="27">
        <f t="shared" si="5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ht="12.6" customHeight="1">
      <c r="A158" s="24">
        <v>79</v>
      </c>
      <c r="B158" s="23" t="s">
        <v>114</v>
      </c>
      <c r="C158" s="24" t="s">
        <v>18</v>
      </c>
      <c r="D158" s="23"/>
      <c r="E158" s="23" t="s">
        <v>41</v>
      </c>
      <c r="F158" s="23" t="s">
        <v>206</v>
      </c>
      <c r="G158" s="23" t="s">
        <v>142</v>
      </c>
      <c r="H158" s="25"/>
      <c r="I158" s="1"/>
      <c r="J158" s="26"/>
      <c r="K158" s="27">
        <f t="shared" si="5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</row>
    <row r="159" spans="1:38" ht="16.899999999999999" customHeight="1">
      <c r="A159" s="24"/>
      <c r="B159" s="23" t="s">
        <v>141</v>
      </c>
      <c r="C159" s="24" t="s">
        <v>18</v>
      </c>
      <c r="D159" s="23"/>
      <c r="E159" s="23" t="s">
        <v>41</v>
      </c>
      <c r="F159" s="23" t="s">
        <v>231</v>
      </c>
      <c r="G159" s="23" t="s">
        <v>136</v>
      </c>
      <c r="H159" s="25"/>
      <c r="I159" s="2"/>
      <c r="J159" s="26"/>
      <c r="K159" s="27">
        <f t="shared" si="5"/>
        <v>0</v>
      </c>
      <c r="L159" s="27"/>
      <c r="M159" s="27"/>
      <c r="N159" s="2"/>
      <c r="O159" s="27">
        <f t="shared" si="4"/>
        <v>0</v>
      </c>
      <c r="P159" s="27"/>
      <c r="Q159" s="27"/>
      <c r="R159" s="20"/>
    </row>
    <row r="160" spans="1:38" ht="24.6" customHeight="1">
      <c r="A160" s="29">
        <v>80</v>
      </c>
      <c r="B160" s="30" t="s">
        <v>115</v>
      </c>
      <c r="C160" s="29" t="s">
        <v>52</v>
      </c>
      <c r="D160" s="30" t="s">
        <v>110</v>
      </c>
      <c r="E160" s="30" t="s">
        <v>19</v>
      </c>
      <c r="F160" s="30"/>
      <c r="G160" s="30" t="s">
        <v>142</v>
      </c>
      <c r="H160" s="25"/>
      <c r="I160" s="1"/>
      <c r="J160" s="26"/>
      <c r="K160" s="27">
        <f t="shared" si="5"/>
        <v>0</v>
      </c>
      <c r="L160" s="27"/>
      <c r="M160" s="27"/>
      <c r="N160" s="1"/>
      <c r="O160" s="27">
        <f t="shared" ref="O160:O164" si="6">P160+Q160</f>
        <v>0</v>
      </c>
      <c r="P160" s="27"/>
      <c r="Q160" s="27"/>
      <c r="R160" s="20"/>
    </row>
    <row r="161" spans="1:38" ht="32.25" customHeight="1">
      <c r="A161" s="29"/>
      <c r="B161" s="30" t="s">
        <v>115</v>
      </c>
      <c r="C161" s="29" t="s">
        <v>52</v>
      </c>
      <c r="D161" s="30" t="s">
        <v>110</v>
      </c>
      <c r="E161" s="30" t="s">
        <v>19</v>
      </c>
      <c r="F161" s="30" t="s">
        <v>235</v>
      </c>
      <c r="G161" s="30" t="s">
        <v>122</v>
      </c>
      <c r="H161" s="25"/>
      <c r="I161" s="1"/>
      <c r="J161" s="44"/>
      <c r="K161" s="27">
        <f t="shared" si="5"/>
        <v>0</v>
      </c>
      <c r="L161" s="27"/>
      <c r="M161" s="27"/>
      <c r="N161" s="1"/>
      <c r="O161" s="27">
        <f t="shared" si="6"/>
        <v>0</v>
      </c>
      <c r="P161" s="27"/>
      <c r="Q161" s="27"/>
      <c r="R161" s="20"/>
    </row>
    <row r="162" spans="1:38" ht="34.9" customHeight="1">
      <c r="A162" s="29">
        <v>81</v>
      </c>
      <c r="B162" s="30" t="s">
        <v>116</v>
      </c>
      <c r="C162" s="29" t="s">
        <v>52</v>
      </c>
      <c r="D162" s="30" t="s">
        <v>117</v>
      </c>
      <c r="E162" s="30" t="s">
        <v>19</v>
      </c>
      <c r="F162" s="30" t="s">
        <v>207</v>
      </c>
      <c r="G162" s="30" t="s">
        <v>142</v>
      </c>
      <c r="H162" s="25"/>
      <c r="I162" s="1"/>
      <c r="J162" s="44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38" ht="28.5" customHeight="1">
      <c r="A163" s="29">
        <v>82</v>
      </c>
      <c r="B163" s="30" t="s">
        <v>209</v>
      </c>
      <c r="C163" s="29" t="s">
        <v>18</v>
      </c>
      <c r="D163" s="30"/>
      <c r="E163" s="30" t="s">
        <v>19</v>
      </c>
      <c r="F163" s="30" t="s">
        <v>123</v>
      </c>
      <c r="G163" s="30" t="s">
        <v>142</v>
      </c>
      <c r="H163" s="25"/>
      <c r="I163" s="1"/>
      <c r="J163" s="44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38" ht="19.5" customHeight="1">
      <c r="A164" s="29">
        <v>83</v>
      </c>
      <c r="B164" s="30" t="s">
        <v>118</v>
      </c>
      <c r="C164" s="29" t="s">
        <v>18</v>
      </c>
      <c r="D164" s="30"/>
      <c r="E164" s="30" t="s">
        <v>41</v>
      </c>
      <c r="F164" s="30" t="s">
        <v>208</v>
      </c>
      <c r="G164" s="30" t="s">
        <v>142</v>
      </c>
      <c r="H164" s="25"/>
      <c r="I164" s="1"/>
      <c r="J164" s="44"/>
      <c r="K164" s="27">
        <f t="shared" si="5"/>
        <v>0</v>
      </c>
      <c r="L164" s="27"/>
      <c r="M164" s="27"/>
      <c r="N164" s="1">
        <v>10</v>
      </c>
      <c r="O164" s="27">
        <f t="shared" si="6"/>
        <v>0</v>
      </c>
      <c r="P164" s="27"/>
      <c r="Q164" s="27"/>
      <c r="R164" s="20"/>
    </row>
    <row r="165" spans="1:38" s="7" customFormat="1" ht="30.6" customHeight="1">
      <c r="A165" s="24"/>
      <c r="B165" s="23" t="s">
        <v>118</v>
      </c>
      <c r="C165" s="24" t="s">
        <v>18</v>
      </c>
      <c r="D165" s="23"/>
      <c r="E165" s="23" t="s">
        <v>41</v>
      </c>
      <c r="F165" s="23" t="s">
        <v>236</v>
      </c>
      <c r="G165" s="23" t="s">
        <v>124</v>
      </c>
      <c r="H165" s="25"/>
      <c r="I165" s="1"/>
      <c r="J165" s="44"/>
      <c r="K165" s="27">
        <f t="shared" si="5"/>
        <v>0</v>
      </c>
      <c r="L165" s="27"/>
      <c r="M165" s="27"/>
      <c r="N165" s="1"/>
      <c r="O165" s="27">
        <f>P165+Q165</f>
        <v>0</v>
      </c>
      <c r="P165" s="27"/>
      <c r="Q165" s="27"/>
      <c r="R165" s="20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</row>
    <row r="166" spans="1:38" ht="27" customHeight="1">
      <c r="A166" s="24"/>
      <c r="B166" s="23" t="s">
        <v>118</v>
      </c>
      <c r="C166" s="24" t="s">
        <v>18</v>
      </c>
      <c r="D166" s="23"/>
      <c r="E166" s="23" t="s">
        <v>41</v>
      </c>
      <c r="F166" s="23" t="s">
        <v>123</v>
      </c>
      <c r="G166" s="23" t="s">
        <v>136</v>
      </c>
      <c r="H166" s="25"/>
      <c r="I166" s="2"/>
      <c r="J166" s="26"/>
      <c r="K166" s="27">
        <f t="shared" si="5"/>
        <v>0</v>
      </c>
      <c r="L166" s="27"/>
      <c r="M166" s="27"/>
      <c r="N166" s="2"/>
      <c r="O166" s="27">
        <f>P166+Q166</f>
        <v>0</v>
      </c>
      <c r="P166" s="27"/>
      <c r="Q166" s="27"/>
      <c r="R166" s="20"/>
    </row>
    <row r="167" spans="1:38" ht="18.75" customHeight="1" thickBot="1">
      <c r="A167" s="47">
        <v>83</v>
      </c>
      <c r="B167" s="99" t="s">
        <v>119</v>
      </c>
      <c r="C167" s="47" t="s">
        <v>18</v>
      </c>
      <c r="D167" s="99"/>
      <c r="E167" s="99" t="s">
        <v>19</v>
      </c>
      <c r="F167" s="99" t="s">
        <v>120</v>
      </c>
      <c r="G167" s="99" t="s">
        <v>122</v>
      </c>
      <c r="H167" s="100"/>
      <c r="I167" s="16"/>
      <c r="J167" s="101"/>
      <c r="K167" s="27">
        <f t="shared" si="5"/>
        <v>0</v>
      </c>
      <c r="L167" s="102"/>
      <c r="M167" s="102"/>
      <c r="N167" s="16"/>
      <c r="O167" s="102">
        <f>P167+Q167</f>
        <v>0</v>
      </c>
      <c r="P167" s="102"/>
      <c r="Q167" s="102"/>
      <c r="R167" s="20"/>
    </row>
    <row r="168" spans="1:38" ht="16.5" customHeight="1">
      <c r="A168" s="87" t="s">
        <v>145</v>
      </c>
      <c r="B168" s="87"/>
      <c r="C168" s="88"/>
      <c r="D168" s="89"/>
      <c r="E168" s="89"/>
      <c r="F168" s="89"/>
      <c r="G168" s="89"/>
      <c r="H168" s="88">
        <f t="shared" ref="H168:Q168" si="7">SUM(H10:H167)</f>
        <v>30</v>
      </c>
      <c r="I168" s="88">
        <f t="shared" si="7"/>
        <v>1</v>
      </c>
      <c r="J168" s="88">
        <f t="shared" si="7"/>
        <v>1</v>
      </c>
      <c r="K168" s="90">
        <f t="shared" si="7"/>
        <v>0</v>
      </c>
      <c r="L168" s="90">
        <f t="shared" si="7"/>
        <v>0</v>
      </c>
      <c r="M168" s="88">
        <f t="shared" si="7"/>
        <v>0</v>
      </c>
      <c r="N168" s="88">
        <f t="shared" si="7"/>
        <v>21</v>
      </c>
      <c r="O168" s="88">
        <f t="shared" si="7"/>
        <v>0</v>
      </c>
      <c r="P168" s="88">
        <f t="shared" si="7"/>
        <v>0</v>
      </c>
      <c r="Q168" s="88">
        <f t="shared" si="7"/>
        <v>0</v>
      </c>
      <c r="R168" s="20"/>
    </row>
    <row r="169" spans="1:38" ht="15" customHeight="1">
      <c r="A169" s="5"/>
      <c r="B169" s="6"/>
      <c r="C169" s="5"/>
      <c r="D169" s="6"/>
      <c r="E169" s="6"/>
      <c r="F169" s="6"/>
      <c r="G169" s="6"/>
      <c r="H169" s="9"/>
      <c r="I169" s="9"/>
      <c r="J169" s="9"/>
      <c r="K169" s="9"/>
      <c r="L169" s="9"/>
      <c r="M169" s="11"/>
      <c r="N169" s="9"/>
      <c r="O169" s="9"/>
      <c r="P169" s="5"/>
      <c r="Q169" s="13"/>
      <c r="R169" s="20"/>
    </row>
    <row r="170" spans="1:38">
      <c r="R170" s="20"/>
    </row>
    <row r="171" spans="1:38">
      <c r="K171" s="15"/>
      <c r="L171" s="15"/>
      <c r="M171" s="19"/>
    </row>
    <row r="172" spans="1:38">
      <c r="K172" s="15"/>
      <c r="L172" s="15"/>
      <c r="N172" s="15"/>
      <c r="O172" s="15"/>
    </row>
    <row r="173" spans="1:38">
      <c r="K173" s="15"/>
      <c r="L173" s="15"/>
      <c r="N173" s="15"/>
    </row>
    <row r="174" spans="1:38">
      <c r="K174" s="15"/>
      <c r="L174" s="15"/>
    </row>
    <row r="175" spans="1:38">
      <c r="K175" s="15"/>
      <c r="L175" s="15"/>
    </row>
    <row r="176" spans="1:38">
      <c r="L176" s="15"/>
    </row>
    <row r="183" spans="12:12">
      <c r="L183" s="15"/>
    </row>
  </sheetData>
  <mergeCells count="8">
    <mergeCell ref="A168:B16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R215"/>
  <sheetViews>
    <sheetView topLeftCell="A27" zoomScale="80" zoomScaleNormal="80" workbookViewId="0">
      <selection activeCell="F55" sqref="A7:Q200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90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9</v>
      </c>
      <c r="I11" s="1"/>
      <c r="J11" s="26"/>
      <c r="K11" s="27">
        <f t="shared" ref="K11:K83" si="2">L11+M11</f>
        <v>0</v>
      </c>
      <c r="L11" s="27"/>
      <c r="M11" s="27"/>
      <c r="N11" s="1">
        <v>8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6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3500.41</v>
      </c>
      <c r="P12" s="27">
        <v>3500.41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5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6380.54</v>
      </c>
      <c r="P14" s="27">
        <v>6380.54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9</v>
      </c>
      <c r="I15" s="2">
        <v>1</v>
      </c>
      <c r="J15" s="26">
        <v>1</v>
      </c>
      <c r="K15" s="27">
        <f t="shared" si="2"/>
        <v>0</v>
      </c>
      <c r="L15" s="27"/>
      <c r="M15" s="27"/>
      <c r="N15" s="2">
        <v>9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16</v>
      </c>
      <c r="I16" s="1">
        <v>6</v>
      </c>
      <c r="J16" s="26">
        <v>7</v>
      </c>
      <c r="K16" s="27">
        <f t="shared" si="2"/>
        <v>0</v>
      </c>
      <c r="L16" s="27"/>
      <c r="M16" s="27"/>
      <c r="N16" s="1">
        <v>10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15</v>
      </c>
      <c r="I20" s="1">
        <v>4</v>
      </c>
      <c r="J20" s="26">
        <v>4</v>
      </c>
      <c r="K20" s="27">
        <f t="shared" si="2"/>
        <v>0</v>
      </c>
      <c r="L20" s="27"/>
      <c r="M20" s="27"/>
      <c r="N20" s="1">
        <v>12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8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5</v>
      </c>
      <c r="I26" s="1">
        <v>3</v>
      </c>
      <c r="J26" s="44">
        <v>3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8</v>
      </c>
      <c r="I27" s="1"/>
      <c r="J27" s="44"/>
      <c r="K27" s="27">
        <f t="shared" si="2"/>
        <v>0</v>
      </c>
      <c r="L27" s="27"/>
      <c r="M27" s="27"/>
      <c r="N27" s="1">
        <v>2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11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1585.49</v>
      </c>
      <c r="P29" s="27">
        <v>1585.49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6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5</v>
      </c>
      <c r="J32" s="26">
        <v>5</v>
      </c>
      <c r="K32" s="27">
        <f t="shared" si="2"/>
        <v>0</v>
      </c>
      <c r="L32" s="27"/>
      <c r="M32" s="27"/>
      <c r="N32" s="1">
        <v>5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2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3494.69</v>
      </c>
      <c r="P34" s="27">
        <v>3494.69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4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5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9</v>
      </c>
      <c r="I38" s="1">
        <v>2</v>
      </c>
      <c r="J38" s="26">
        <v>2</v>
      </c>
      <c r="K38" s="27">
        <f t="shared" si="2"/>
        <v>0</v>
      </c>
      <c r="L38" s="27"/>
      <c r="M38" s="27"/>
      <c r="N38" s="1">
        <v>7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9</v>
      </c>
      <c r="I39" s="2"/>
      <c r="J39" s="26"/>
      <c r="K39" s="27">
        <f t="shared" si="2"/>
        <v>0</v>
      </c>
      <c r="L39" s="27"/>
      <c r="M39" s="27"/>
      <c r="N39" s="2">
        <v>5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2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5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1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4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>
        <v>2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3</v>
      </c>
      <c r="I48" s="1"/>
      <c r="J48" s="26"/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3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7</v>
      </c>
      <c r="I50" s="1">
        <v>6</v>
      </c>
      <c r="J50" s="26">
        <v>6</v>
      </c>
      <c r="K50" s="27">
        <f t="shared" si="2"/>
        <v>0</v>
      </c>
      <c r="L50" s="27"/>
      <c r="M50" s="27"/>
      <c r="N50" s="1">
        <v>4</v>
      </c>
      <c r="O50" s="27">
        <f t="shared" si="1"/>
        <v>6837.93</v>
      </c>
      <c r="P50" s="27">
        <v>6837.93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6</v>
      </c>
      <c r="I53" s="1"/>
      <c r="J53" s="26"/>
      <c r="K53" s="27">
        <f t="shared" si="2"/>
        <v>0</v>
      </c>
      <c r="L53" s="27"/>
      <c r="M53" s="27"/>
      <c r="N53" s="1">
        <v>1</v>
      </c>
      <c r="O53" s="27">
        <f t="shared" si="1"/>
        <v>10258.950000000001</v>
      </c>
      <c r="P53" s="27">
        <v>10258.950000000001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4</v>
      </c>
      <c r="I54" s="2"/>
      <c r="J54" s="26"/>
      <c r="K54" s="27">
        <f t="shared" si="2"/>
        <v>0</v>
      </c>
      <c r="L54" s="27"/>
      <c r="M54" s="27"/>
      <c r="N54" s="2"/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0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 t="s">
        <v>321</v>
      </c>
      <c r="G56" s="23" t="s">
        <v>136</v>
      </c>
      <c r="H56" s="25">
        <v>1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3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7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14</v>
      </c>
      <c r="I60" s="1">
        <v>3</v>
      </c>
      <c r="J60" s="26">
        <v>3</v>
      </c>
      <c r="K60" s="27">
        <f t="shared" si="2"/>
        <v>0</v>
      </c>
      <c r="L60" s="27"/>
      <c r="M60" s="27"/>
      <c r="N60" s="1">
        <v>13</v>
      </c>
      <c r="O60" s="27">
        <f t="shared" si="1"/>
        <v>2817.33</v>
      </c>
      <c r="P60" s="27">
        <v>2817.33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11</v>
      </c>
      <c r="I61" s="1">
        <v>3</v>
      </c>
      <c r="J61" s="26">
        <v>3</v>
      </c>
      <c r="K61" s="27">
        <f t="shared" si="2"/>
        <v>0</v>
      </c>
      <c r="L61" s="27"/>
      <c r="M61" s="27"/>
      <c r="N61" s="1">
        <v>5</v>
      </c>
      <c r="O61" s="27">
        <f t="shared" si="1"/>
        <v>0</v>
      </c>
      <c r="P61" s="27"/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4</v>
      </c>
      <c r="I62" s="1"/>
      <c r="J62" s="26"/>
      <c r="K62" s="27">
        <f t="shared" si="2"/>
        <v>0</v>
      </c>
      <c r="L62" s="27"/>
      <c r="M62" s="27"/>
      <c r="N62" s="1">
        <v>4</v>
      </c>
      <c r="O62" s="27">
        <f t="shared" si="1"/>
        <v>0</v>
      </c>
      <c r="P62" s="27"/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5</v>
      </c>
      <c r="I63" s="1"/>
      <c r="J63" s="26"/>
      <c r="K63" s="27">
        <f t="shared" si="2"/>
        <v>0</v>
      </c>
      <c r="L63" s="27"/>
      <c r="M63" s="27"/>
      <c r="N63" s="1">
        <v>4</v>
      </c>
      <c r="O63" s="27">
        <f t="shared" si="1"/>
        <v>3793.8</v>
      </c>
      <c r="P63" s="27">
        <v>3793.8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5</v>
      </c>
      <c r="I64" s="1"/>
      <c r="J64" s="26"/>
      <c r="K64" s="27">
        <f t="shared" si="2"/>
        <v>0</v>
      </c>
      <c r="L64" s="27"/>
      <c r="M64" s="27"/>
      <c r="N64" s="1">
        <v>4</v>
      </c>
      <c r="O64" s="27">
        <f t="shared" si="1"/>
        <v>881</v>
      </c>
      <c r="P64" s="27">
        <v>881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4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5</v>
      </c>
      <c r="I66" s="1">
        <v>3</v>
      </c>
      <c r="J66" s="26">
        <v>3</v>
      </c>
      <c r="K66" s="27">
        <f t="shared" si="2"/>
        <v>0</v>
      </c>
      <c r="L66" s="27"/>
      <c r="M66" s="27"/>
      <c r="N66" s="1">
        <v>5</v>
      </c>
      <c r="O66" s="27">
        <f t="shared" si="1"/>
        <v>1353.94</v>
      </c>
      <c r="P66" s="27">
        <v>1353.94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292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6</v>
      </c>
      <c r="I68" s="1">
        <v>1</v>
      </c>
      <c r="J68" s="26">
        <v>1</v>
      </c>
      <c r="K68" s="27">
        <f t="shared" si="2"/>
        <v>0</v>
      </c>
      <c r="L68" s="27"/>
      <c r="M68" s="27"/>
      <c r="N68" s="1">
        <v>3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6</v>
      </c>
      <c r="I69" s="2"/>
      <c r="J69" s="26"/>
      <c r="K69" s="27">
        <f t="shared" si="2"/>
        <v>0</v>
      </c>
      <c r="L69" s="27"/>
      <c r="M69" s="27"/>
      <c r="N69" s="2"/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6</v>
      </c>
      <c r="I70" s="2"/>
      <c r="J70" s="26"/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8</v>
      </c>
      <c r="I71" s="1">
        <v>2</v>
      </c>
      <c r="J71" s="26">
        <v>2</v>
      </c>
      <c r="K71" s="27">
        <f t="shared" si="2"/>
        <v>0</v>
      </c>
      <c r="L71" s="27"/>
      <c r="M71" s="27"/>
      <c r="N71" s="1">
        <v>10</v>
      </c>
      <c r="O71" s="27">
        <f t="shared" si="1"/>
        <v>12247.679999999998</v>
      </c>
      <c r="P71" s="27">
        <f>8536.41+1900.55+1810.72</f>
        <v>12247.679999999998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12</v>
      </c>
      <c r="I73" s="1">
        <v>5</v>
      </c>
      <c r="J73" s="26">
        <v>5</v>
      </c>
      <c r="K73" s="27">
        <f t="shared" si="2"/>
        <v>0</v>
      </c>
      <c r="L73" s="27"/>
      <c r="M73" s="27"/>
      <c r="N73" s="1">
        <v>4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/>
      <c r="O74" s="27">
        <f t="shared" si="1"/>
        <v>0</v>
      </c>
      <c r="P74" s="27"/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120</v>
      </c>
      <c r="G75" s="23" t="s">
        <v>122</v>
      </c>
      <c r="H75" s="25">
        <v>2</v>
      </c>
      <c r="I75" s="1"/>
      <c r="J75" s="26"/>
      <c r="K75" s="27">
        <f t="shared" si="2"/>
        <v>0</v>
      </c>
      <c r="L75" s="27"/>
      <c r="M75" s="27"/>
      <c r="N75" s="1">
        <v>5</v>
      </c>
      <c r="O75" s="27">
        <f t="shared" si="1"/>
        <v>0</v>
      </c>
      <c r="P75" s="27"/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2</v>
      </c>
      <c r="I76" s="1"/>
      <c r="J76" s="26"/>
      <c r="K76" s="27">
        <f t="shared" si="2"/>
        <v>0</v>
      </c>
      <c r="L76" s="27"/>
      <c r="M76" s="27"/>
      <c r="N76" s="1">
        <v>4</v>
      </c>
      <c r="O76" s="27">
        <f t="shared" si="1"/>
        <v>0</v>
      </c>
      <c r="P76" s="27"/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7</v>
      </c>
      <c r="I77" s="1">
        <v>3</v>
      </c>
      <c r="J77" s="26">
        <v>3</v>
      </c>
      <c r="K77" s="27">
        <f t="shared" si="2"/>
        <v>0</v>
      </c>
      <c r="L77" s="27"/>
      <c r="M77" s="27"/>
      <c r="N77" s="1">
        <v>13</v>
      </c>
      <c r="O77" s="27">
        <f t="shared" si="1"/>
        <v>0</v>
      </c>
      <c r="P77" s="27"/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4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/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0</v>
      </c>
      <c r="I80" s="1"/>
      <c r="J80" s="26"/>
      <c r="K80" s="27">
        <f t="shared" si="2"/>
        <v>0</v>
      </c>
      <c r="L80" s="27"/>
      <c r="M80" s="27"/>
      <c r="N80" s="1">
        <v>2</v>
      </c>
      <c r="O80" s="27">
        <f t="shared" si="1"/>
        <v>1497.7</v>
      </c>
      <c r="P80" s="27">
        <v>1497.7</v>
      </c>
      <c r="Q80" s="27"/>
      <c r="R80" s="20"/>
    </row>
    <row r="81" spans="1:38" s="17" customFormat="1" ht="15" customHeight="1">
      <c r="A81" s="24">
        <v>39</v>
      </c>
      <c r="B81" s="23" t="s">
        <v>238</v>
      </c>
      <c r="C81" s="24" t="s">
        <v>18</v>
      </c>
      <c r="D81" s="23"/>
      <c r="E81" s="23" t="s">
        <v>41</v>
      </c>
      <c r="F81" s="23" t="s">
        <v>408</v>
      </c>
      <c r="G81" s="23" t="s">
        <v>142</v>
      </c>
      <c r="H81" s="25">
        <v>17</v>
      </c>
      <c r="I81" s="1"/>
      <c r="J81" s="26"/>
      <c r="K81" s="27">
        <f t="shared" si="2"/>
        <v>0</v>
      </c>
      <c r="L81" s="27"/>
      <c r="M81" s="27"/>
      <c r="N81" s="1">
        <v>1</v>
      </c>
      <c r="O81" s="27">
        <f t="shared" si="1"/>
        <v>6215.87</v>
      </c>
      <c r="P81" s="27">
        <v>6215.87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7" customFormat="1" ht="15" customHeight="1">
      <c r="A82" s="24">
        <v>40</v>
      </c>
      <c r="B82" s="23" t="s">
        <v>65</v>
      </c>
      <c r="C82" s="24" t="s">
        <v>18</v>
      </c>
      <c r="D82" s="23"/>
      <c r="E82" s="23" t="s">
        <v>66</v>
      </c>
      <c r="F82" s="23" t="s">
        <v>409</v>
      </c>
      <c r="G82" s="23" t="s">
        <v>142</v>
      </c>
      <c r="H82" s="25">
        <v>6</v>
      </c>
      <c r="I82" s="1"/>
      <c r="J82" s="26"/>
      <c r="K82" s="27">
        <f t="shared" si="2"/>
        <v>0</v>
      </c>
      <c r="L82" s="27"/>
      <c r="M82" s="27"/>
      <c r="N82" s="1">
        <v>9</v>
      </c>
      <c r="O82" s="27">
        <f t="shared" si="1"/>
        <v>0</v>
      </c>
      <c r="P82" s="27"/>
      <c r="Q82" s="27"/>
      <c r="R82" s="20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 spans="1:38" ht="15" customHeight="1">
      <c r="A83" s="24"/>
      <c r="B83" s="23" t="s">
        <v>65</v>
      </c>
      <c r="C83" s="24" t="s">
        <v>18</v>
      </c>
      <c r="D83" s="23"/>
      <c r="E83" s="23" t="s">
        <v>66</v>
      </c>
      <c r="F83" s="23" t="s">
        <v>123</v>
      </c>
      <c r="G83" s="23" t="s">
        <v>136</v>
      </c>
      <c r="H83" s="25">
        <v>0</v>
      </c>
      <c r="I83" s="2"/>
      <c r="J83" s="26"/>
      <c r="K83" s="27">
        <f t="shared" si="2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s="7" customFormat="1" ht="15" customHeight="1">
      <c r="A84" s="24">
        <v>41</v>
      </c>
      <c r="B84" s="23" t="s">
        <v>67</v>
      </c>
      <c r="C84" s="24" t="s">
        <v>18</v>
      </c>
      <c r="D84" s="23"/>
      <c r="E84" s="23" t="s">
        <v>19</v>
      </c>
      <c r="F84" s="23" t="s">
        <v>410</v>
      </c>
      <c r="G84" s="23" t="s">
        <v>142</v>
      </c>
      <c r="H84" s="25">
        <v>13</v>
      </c>
      <c r="I84" s="1">
        <v>11</v>
      </c>
      <c r="J84" s="26">
        <v>11</v>
      </c>
      <c r="K84" s="27">
        <f t="shared" ref="K84:K152" si="3">L84+M84</f>
        <v>0</v>
      </c>
      <c r="L84" s="27"/>
      <c r="M84" s="27"/>
      <c r="N84" s="1">
        <v>7</v>
      </c>
      <c r="O84" s="27">
        <f t="shared" si="1"/>
        <v>1369.13</v>
      </c>
      <c r="P84" s="27">
        <v>1369.13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s="28" customFormat="1" ht="15" customHeight="1">
      <c r="A85" s="24"/>
      <c r="B85" s="23" t="s">
        <v>67</v>
      </c>
      <c r="C85" s="24" t="s">
        <v>18</v>
      </c>
      <c r="D85" s="23"/>
      <c r="E85" s="23" t="s">
        <v>104</v>
      </c>
      <c r="F85" s="23" t="s">
        <v>123</v>
      </c>
      <c r="G85" s="23" t="s">
        <v>122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1"/>
        <v>0</v>
      </c>
      <c r="P85" s="27"/>
      <c r="Q85" s="27"/>
      <c r="R85" s="20"/>
    </row>
    <row r="86" spans="1:38" ht="15" customHeight="1">
      <c r="A86" s="24">
        <v>42</v>
      </c>
      <c r="B86" s="23" t="s">
        <v>68</v>
      </c>
      <c r="C86" s="24" t="s">
        <v>18</v>
      </c>
      <c r="D86" s="24"/>
      <c r="E86" s="23" t="s">
        <v>50</v>
      </c>
      <c r="F86" s="23" t="s">
        <v>411</v>
      </c>
      <c r="G86" s="23" t="s">
        <v>142</v>
      </c>
      <c r="H86" s="25">
        <v>5</v>
      </c>
      <c r="I86" s="1"/>
      <c r="J86" s="26"/>
      <c r="K86" s="27">
        <f t="shared" si="3"/>
        <v>0</v>
      </c>
      <c r="L86" s="27"/>
      <c r="M86" s="27"/>
      <c r="N86" s="1"/>
      <c r="O86" s="27">
        <f t="shared" si="1"/>
        <v>0</v>
      </c>
      <c r="P86" s="27"/>
      <c r="Q86" s="27"/>
      <c r="R86" s="20"/>
    </row>
    <row r="87" spans="1:38" ht="15" customHeight="1">
      <c r="A87" s="24"/>
      <c r="B87" s="23" t="s">
        <v>68</v>
      </c>
      <c r="C87" s="24" t="s">
        <v>18</v>
      </c>
      <c r="D87" s="23"/>
      <c r="E87" s="23" t="s">
        <v>50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1"/>
        <v>0</v>
      </c>
      <c r="P87" s="27"/>
      <c r="Q87" s="27"/>
      <c r="R87" s="20"/>
    </row>
    <row r="88" spans="1:38" ht="15" customHeight="1">
      <c r="A88" s="24"/>
      <c r="B88" s="23" t="s">
        <v>68</v>
      </c>
      <c r="C88" s="24" t="s">
        <v>18</v>
      </c>
      <c r="D88" s="23"/>
      <c r="E88" s="23" t="s">
        <v>50</v>
      </c>
      <c r="F88" s="23" t="s">
        <v>292</v>
      </c>
      <c r="G88" s="23" t="s">
        <v>124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1"/>
        <v>0</v>
      </c>
      <c r="P88" s="27"/>
      <c r="Q88" s="27"/>
      <c r="R88" s="20"/>
    </row>
    <row r="89" spans="1:38" ht="15" customHeight="1">
      <c r="A89" s="24">
        <v>43</v>
      </c>
      <c r="B89" s="23" t="s">
        <v>127</v>
      </c>
      <c r="C89" s="24" t="s">
        <v>18</v>
      </c>
      <c r="D89" s="23"/>
      <c r="E89" s="23" t="s">
        <v>41</v>
      </c>
      <c r="F89" s="23" t="s">
        <v>412</v>
      </c>
      <c r="G89" s="23" t="s">
        <v>142</v>
      </c>
      <c r="H89" s="25">
        <v>7</v>
      </c>
      <c r="I89" s="2">
        <v>1</v>
      </c>
      <c r="J89" s="26">
        <v>1</v>
      </c>
      <c r="K89" s="27">
        <f t="shared" si="3"/>
        <v>0</v>
      </c>
      <c r="L89" s="27"/>
      <c r="M89" s="27"/>
      <c r="N89" s="2">
        <v>2</v>
      </c>
      <c r="O89" s="27">
        <f t="shared" si="1"/>
        <v>3045.34</v>
      </c>
      <c r="P89" s="27">
        <v>3045.34</v>
      </c>
      <c r="Q89" s="27"/>
      <c r="R89" s="20"/>
    </row>
    <row r="90" spans="1:38" ht="15" customHeight="1">
      <c r="A90" s="24"/>
      <c r="B90" s="23" t="s">
        <v>127</v>
      </c>
      <c r="C90" s="24" t="s">
        <v>18</v>
      </c>
      <c r="D90" s="23"/>
      <c r="E90" s="23" t="s">
        <v>50</v>
      </c>
      <c r="F90" s="23" t="s">
        <v>364</v>
      </c>
      <c r="G90" s="23" t="s">
        <v>136</v>
      </c>
      <c r="H90" s="25">
        <v>10</v>
      </c>
      <c r="I90" s="2"/>
      <c r="J90" s="26"/>
      <c r="K90" s="27">
        <f t="shared" si="3"/>
        <v>0</v>
      </c>
      <c r="L90" s="27"/>
      <c r="M90" s="27"/>
      <c r="N90" s="2">
        <v>12</v>
      </c>
      <c r="O90" s="27">
        <f t="shared" si="1"/>
        <v>0</v>
      </c>
      <c r="P90" s="27"/>
      <c r="Q90" s="27"/>
      <c r="R90" s="20"/>
    </row>
    <row r="91" spans="1:38" ht="15" customHeight="1">
      <c r="A91" s="24"/>
      <c r="B91" s="23" t="s">
        <v>127</v>
      </c>
      <c r="C91" s="24" t="s">
        <v>18</v>
      </c>
      <c r="D91" s="23"/>
      <c r="E91" s="23" t="s">
        <v>50</v>
      </c>
      <c r="F91" s="23" t="s">
        <v>375</v>
      </c>
      <c r="G91" s="23" t="s">
        <v>124</v>
      </c>
      <c r="H91" s="25">
        <v>1</v>
      </c>
      <c r="I91" s="2"/>
      <c r="J91" s="26"/>
      <c r="K91" s="27">
        <f t="shared" si="3"/>
        <v>0</v>
      </c>
      <c r="L91" s="27"/>
      <c r="M91" s="27"/>
      <c r="N91" s="2">
        <v>1</v>
      </c>
      <c r="O91" s="27">
        <f t="shared" ref="O91:O188" si="4">P91+Q91</f>
        <v>0</v>
      </c>
      <c r="P91" s="27"/>
      <c r="Q91" s="27"/>
      <c r="R91" s="20"/>
    </row>
    <row r="92" spans="1:38" s="7" customFormat="1" ht="15" customHeight="1">
      <c r="A92" s="74">
        <v>44</v>
      </c>
      <c r="B92" s="77" t="s">
        <v>69</v>
      </c>
      <c r="C92" s="74" t="s">
        <v>18</v>
      </c>
      <c r="D92" s="77"/>
      <c r="E92" s="77" t="s">
        <v>19</v>
      </c>
      <c r="F92" s="77" t="s">
        <v>292</v>
      </c>
      <c r="G92" s="77" t="s">
        <v>142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s="7" customFormat="1" ht="15.75" customHeight="1">
      <c r="A93" s="74">
        <v>45</v>
      </c>
      <c r="B93" s="77" t="s">
        <v>70</v>
      </c>
      <c r="C93" s="74" t="s">
        <v>18</v>
      </c>
      <c r="D93" s="77"/>
      <c r="E93" s="77" t="s">
        <v>19</v>
      </c>
      <c r="F93" s="77" t="s">
        <v>413</v>
      </c>
      <c r="G93" s="77" t="s">
        <v>142</v>
      </c>
      <c r="H93" s="25">
        <v>5</v>
      </c>
      <c r="I93" s="1">
        <v>2</v>
      </c>
      <c r="J93" s="26">
        <v>2</v>
      </c>
      <c r="K93" s="27">
        <f t="shared" si="3"/>
        <v>0</v>
      </c>
      <c r="L93" s="27"/>
      <c r="M93" s="27"/>
      <c r="N93" s="1">
        <v>3</v>
      </c>
      <c r="O93" s="27">
        <f t="shared" si="4"/>
        <v>3806.1</v>
      </c>
      <c r="P93" s="27">
        <v>3806.1</v>
      </c>
      <c r="Q93" s="27"/>
      <c r="R93" s="20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 spans="1:38" ht="15" customHeight="1">
      <c r="A94" s="74">
        <v>46</v>
      </c>
      <c r="B94" s="77" t="s">
        <v>71</v>
      </c>
      <c r="C94" s="74" t="s">
        <v>18</v>
      </c>
      <c r="D94" s="77"/>
      <c r="E94" s="77" t="s">
        <v>32</v>
      </c>
      <c r="F94" s="77" t="s">
        <v>292</v>
      </c>
      <c r="G94" s="77" t="s">
        <v>121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</row>
    <row r="95" spans="1:38" ht="15" customHeight="1">
      <c r="A95" s="24"/>
      <c r="B95" s="23" t="s">
        <v>71</v>
      </c>
      <c r="C95" s="24" t="s">
        <v>18</v>
      </c>
      <c r="D95" s="23"/>
      <c r="E95" s="23" t="s">
        <v>32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</row>
    <row r="96" spans="1:38" ht="15" customHeight="1">
      <c r="A96" s="24">
        <v>47</v>
      </c>
      <c r="B96" s="23" t="s">
        <v>72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72</v>
      </c>
      <c r="C97" s="24" t="s">
        <v>18</v>
      </c>
      <c r="D97" s="23"/>
      <c r="E97" s="23" t="s">
        <v>19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73</v>
      </c>
      <c r="C98" s="24" t="s">
        <v>18</v>
      </c>
      <c r="D98" s="23"/>
      <c r="E98" s="23" t="s">
        <v>19</v>
      </c>
      <c r="F98" s="23"/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s="7" customFormat="1" ht="15" customHeight="1">
      <c r="A99" s="24">
        <v>49</v>
      </c>
      <c r="B99" s="23" t="s">
        <v>74</v>
      </c>
      <c r="C99" s="24" t="s">
        <v>18</v>
      </c>
      <c r="D99" s="23"/>
      <c r="E99" s="23" t="s">
        <v>19</v>
      </c>
      <c r="F99" s="23" t="s">
        <v>414</v>
      </c>
      <c r="G99" s="23" t="s">
        <v>142</v>
      </c>
      <c r="H99" s="25">
        <v>9</v>
      </c>
      <c r="I99" s="1">
        <v>2</v>
      </c>
      <c r="J99" s="26">
        <v>2</v>
      </c>
      <c r="K99" s="27">
        <f t="shared" si="3"/>
        <v>0</v>
      </c>
      <c r="L99" s="27"/>
      <c r="M99" s="27"/>
      <c r="N99" s="1">
        <v>6</v>
      </c>
      <c r="O99" s="27">
        <f t="shared" si="4"/>
        <v>8926.48</v>
      </c>
      <c r="P99" s="27">
        <v>8926.48</v>
      </c>
      <c r="Q99" s="27"/>
      <c r="R99" s="20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 spans="1:38" s="7" customFormat="1" ht="15" customHeight="1">
      <c r="A100" s="24">
        <v>50</v>
      </c>
      <c r="B100" s="23" t="s">
        <v>312</v>
      </c>
      <c r="C100" s="24" t="s">
        <v>18</v>
      </c>
      <c r="D100" s="23"/>
      <c r="E100" s="23" t="s">
        <v>19</v>
      </c>
      <c r="F100" s="23" t="s">
        <v>415</v>
      </c>
      <c r="G100" s="23" t="s">
        <v>142</v>
      </c>
      <c r="H100" s="25">
        <v>5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s="7" customFormat="1" ht="15" customHeight="1">
      <c r="A101" s="24"/>
      <c r="B101" s="23" t="s">
        <v>312</v>
      </c>
      <c r="C101" s="24" t="s">
        <v>18</v>
      </c>
      <c r="D101" s="23"/>
      <c r="E101" s="23" t="s">
        <v>304</v>
      </c>
      <c r="F101" s="23" t="s">
        <v>339</v>
      </c>
      <c r="G101" s="23" t="s">
        <v>131</v>
      </c>
      <c r="H101" s="25">
        <v>9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/>
      <c r="B102" s="23" t="s">
        <v>312</v>
      </c>
      <c r="C102" s="24" t="s">
        <v>18</v>
      </c>
      <c r="D102" s="23"/>
      <c r="E102" s="23" t="s">
        <v>41</v>
      </c>
      <c r="F102" s="23" t="s">
        <v>365</v>
      </c>
      <c r="G102" s="23" t="s">
        <v>136</v>
      </c>
      <c r="H102" s="25">
        <v>9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ht="15" customHeight="1">
      <c r="A103" s="24">
        <v>51</v>
      </c>
      <c r="B103" s="23" t="s">
        <v>75</v>
      </c>
      <c r="C103" s="24" t="s">
        <v>18</v>
      </c>
      <c r="D103" s="23"/>
      <c r="E103" s="23" t="s">
        <v>19</v>
      </c>
      <c r="F103" s="23" t="s">
        <v>416</v>
      </c>
      <c r="G103" s="23" t="s">
        <v>142</v>
      </c>
      <c r="H103" s="25">
        <v>5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14</v>
      </c>
      <c r="O103" s="27">
        <f>P103+Q103</f>
        <v>0</v>
      </c>
      <c r="P103" s="27"/>
      <c r="Q103" s="27"/>
      <c r="R103" s="20"/>
    </row>
    <row r="104" spans="1:38" ht="13.15" customHeight="1">
      <c r="A104" s="24"/>
      <c r="B104" s="23" t="s">
        <v>75</v>
      </c>
      <c r="C104" s="24" t="s">
        <v>18</v>
      </c>
      <c r="D104" s="23"/>
      <c r="E104" s="23" t="s">
        <v>76</v>
      </c>
      <c r="F104" s="23" t="s">
        <v>335</v>
      </c>
      <c r="G104" s="23" t="s">
        <v>131</v>
      </c>
      <c r="H104" s="25">
        <v>0</v>
      </c>
      <c r="I104" s="1"/>
      <c r="J104" s="26"/>
      <c r="K104" s="27">
        <f t="shared" si="3"/>
        <v>0</v>
      </c>
      <c r="L104" s="27"/>
      <c r="M104" s="27"/>
      <c r="N104" s="1">
        <v>5</v>
      </c>
      <c r="O104" s="27">
        <f>P104+Q104</f>
        <v>792.9</v>
      </c>
      <c r="P104" s="27">
        <v>792.9</v>
      </c>
      <c r="Q104" s="27"/>
      <c r="R104" s="20"/>
    </row>
    <row r="105" spans="1:38" ht="15" customHeight="1">
      <c r="A105" s="24"/>
      <c r="B105" s="23" t="s">
        <v>140</v>
      </c>
      <c r="C105" s="24" t="s">
        <v>18</v>
      </c>
      <c r="D105" s="23"/>
      <c r="E105" s="23" t="s">
        <v>76</v>
      </c>
      <c r="F105" s="23" t="s">
        <v>377</v>
      </c>
      <c r="G105" s="23" t="s">
        <v>136</v>
      </c>
      <c r="H105" s="25">
        <v>1</v>
      </c>
      <c r="I105" s="2"/>
      <c r="J105" s="26"/>
      <c r="K105" s="27">
        <f t="shared" si="3"/>
        <v>0</v>
      </c>
      <c r="L105" s="27"/>
      <c r="M105" s="27"/>
      <c r="N105" s="2">
        <v>15</v>
      </c>
      <c r="O105" s="27">
        <f>P105+Q105</f>
        <v>4212.68</v>
      </c>
      <c r="P105" s="27">
        <v>4212.68</v>
      </c>
      <c r="Q105" s="27"/>
      <c r="R105" s="20"/>
    </row>
    <row r="106" spans="1:38" s="17" customFormat="1" ht="15" customHeight="1">
      <c r="A106" s="24">
        <v>52</v>
      </c>
      <c r="B106" s="23" t="s">
        <v>267</v>
      </c>
      <c r="C106" s="24" t="s">
        <v>18</v>
      </c>
      <c r="D106" s="23"/>
      <c r="E106" s="23" t="s">
        <v>19</v>
      </c>
      <c r="F106" s="23" t="s">
        <v>268</v>
      </c>
      <c r="G106" s="23" t="s">
        <v>142</v>
      </c>
      <c r="H106" s="25">
        <v>0</v>
      </c>
      <c r="I106" s="2"/>
      <c r="J106" s="26"/>
      <c r="K106" s="27">
        <f t="shared" si="3"/>
        <v>0</v>
      </c>
      <c r="L106" s="27"/>
      <c r="M106" s="27"/>
      <c r="N106" s="2"/>
      <c r="O106" s="27">
        <f>P106+Q106</f>
        <v>0</v>
      </c>
      <c r="P106" s="27"/>
      <c r="Q106" s="27"/>
      <c r="R106" s="20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38" s="17" customFormat="1" ht="15" customHeight="1">
      <c r="A107" s="24"/>
      <c r="B107" s="23" t="s">
        <v>267</v>
      </c>
      <c r="C107" s="24" t="s">
        <v>18</v>
      </c>
      <c r="D107" s="23"/>
      <c r="E107" s="23" t="s">
        <v>19</v>
      </c>
      <c r="F107" s="23" t="s">
        <v>336</v>
      </c>
      <c r="G107" s="23" t="s">
        <v>131</v>
      </c>
      <c r="H107" s="25">
        <v>5</v>
      </c>
      <c r="I107" s="2"/>
      <c r="J107" s="26"/>
      <c r="K107" s="27">
        <f t="shared" si="3"/>
        <v>0</v>
      </c>
      <c r="L107" s="27"/>
      <c r="M107" s="27"/>
      <c r="N107" s="2">
        <v>2</v>
      </c>
      <c r="O107" s="27">
        <f t="shared" ref="O107:O111" si="5">P107+Q107</f>
        <v>1703.9</v>
      </c>
      <c r="P107" s="27">
        <v>1703.9</v>
      </c>
      <c r="Q107" s="27"/>
      <c r="R107" s="20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:38" ht="15" customHeight="1">
      <c r="A108" s="24"/>
      <c r="B108" s="23" t="s">
        <v>267</v>
      </c>
      <c r="C108" s="24" t="s">
        <v>18</v>
      </c>
      <c r="D108" s="23"/>
      <c r="E108" s="23" t="s">
        <v>19</v>
      </c>
      <c r="F108" s="23" t="s">
        <v>123</v>
      </c>
      <c r="G108" s="23" t="s">
        <v>122</v>
      </c>
      <c r="H108" s="25">
        <v>3</v>
      </c>
      <c r="I108" s="2"/>
      <c r="J108" s="26"/>
      <c r="K108" s="27">
        <f t="shared" si="3"/>
        <v>0</v>
      </c>
      <c r="L108" s="27"/>
      <c r="M108" s="27"/>
      <c r="N108" s="2">
        <v>1</v>
      </c>
      <c r="O108" s="27">
        <f t="shared" si="5"/>
        <v>0</v>
      </c>
      <c r="P108" s="27"/>
      <c r="Q108" s="27"/>
      <c r="R108" s="20"/>
    </row>
    <row r="109" spans="1:38" ht="15" customHeight="1">
      <c r="A109" s="24">
        <v>53</v>
      </c>
      <c r="B109" s="23" t="s">
        <v>306</v>
      </c>
      <c r="C109" s="24" t="s">
        <v>18</v>
      </c>
      <c r="D109" s="23"/>
      <c r="E109" s="23" t="s">
        <v>104</v>
      </c>
      <c r="F109" s="23" t="s">
        <v>417</v>
      </c>
      <c r="G109" s="23" t="s">
        <v>142</v>
      </c>
      <c r="H109" s="25">
        <v>3</v>
      </c>
      <c r="I109" s="2"/>
      <c r="J109" s="26"/>
      <c r="K109" s="27">
        <v>0</v>
      </c>
      <c r="L109" s="27"/>
      <c r="M109" s="27"/>
      <c r="N109" s="2"/>
      <c r="O109" s="27">
        <v>0</v>
      </c>
      <c r="P109" s="27"/>
      <c r="Q109" s="27"/>
      <c r="R109" s="20"/>
    </row>
    <row r="110" spans="1:38" ht="15" customHeight="1">
      <c r="A110" s="24"/>
      <c r="B110" s="23" t="s">
        <v>306</v>
      </c>
      <c r="C110" s="24" t="s">
        <v>30</v>
      </c>
      <c r="D110" s="23" t="s">
        <v>334</v>
      </c>
      <c r="E110" s="23" t="s">
        <v>104</v>
      </c>
      <c r="F110" s="23" t="s">
        <v>340</v>
      </c>
      <c r="G110" s="23" t="s">
        <v>131</v>
      </c>
      <c r="H110" s="25">
        <v>7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20"/>
    </row>
    <row r="111" spans="1:38" ht="15" customHeight="1">
      <c r="A111" s="24"/>
      <c r="B111" s="23" t="s">
        <v>306</v>
      </c>
      <c r="C111" s="24" t="s">
        <v>30</v>
      </c>
      <c r="D111" s="23" t="s">
        <v>307</v>
      </c>
      <c r="E111" s="23" t="s">
        <v>19</v>
      </c>
      <c r="F111" s="23" t="s">
        <v>350</v>
      </c>
      <c r="G111" s="23" t="s">
        <v>122</v>
      </c>
      <c r="H111" s="25">
        <v>4</v>
      </c>
      <c r="I111" s="2"/>
      <c r="J111" s="26"/>
      <c r="K111" s="27">
        <f t="shared" si="3"/>
        <v>0</v>
      </c>
      <c r="L111" s="27"/>
      <c r="M111" s="27"/>
      <c r="N111" s="2">
        <v>1</v>
      </c>
      <c r="O111" s="27">
        <f t="shared" si="5"/>
        <v>0</v>
      </c>
      <c r="P111" s="27"/>
      <c r="Q111" s="27"/>
      <c r="R111" s="20"/>
    </row>
    <row r="112" spans="1:38" ht="30.75" customHeight="1">
      <c r="A112" s="24">
        <v>54</v>
      </c>
      <c r="B112" s="23" t="s">
        <v>78</v>
      </c>
      <c r="C112" s="24" t="s">
        <v>18</v>
      </c>
      <c r="D112" s="23" t="s">
        <v>276</v>
      </c>
      <c r="E112" s="23" t="s">
        <v>19</v>
      </c>
      <c r="F112" s="23" t="s">
        <v>418</v>
      </c>
      <c r="G112" s="23" t="s">
        <v>142</v>
      </c>
      <c r="H112" s="25">
        <v>12</v>
      </c>
      <c r="I112" s="1">
        <v>10</v>
      </c>
      <c r="J112" s="26">
        <v>10</v>
      </c>
      <c r="K112" s="27">
        <f t="shared" si="3"/>
        <v>0</v>
      </c>
      <c r="L112" s="27"/>
      <c r="M112" s="27"/>
      <c r="N112" s="1">
        <v>3</v>
      </c>
      <c r="O112" s="27">
        <f t="shared" si="4"/>
        <v>0</v>
      </c>
      <c r="P112" s="27"/>
      <c r="Q112" s="27"/>
      <c r="R112" s="20"/>
    </row>
    <row r="113" spans="1:38" s="7" customFormat="1" ht="15" customHeight="1">
      <c r="A113" s="24"/>
      <c r="B113" s="23" t="s">
        <v>78</v>
      </c>
      <c r="C113" s="24" t="s">
        <v>18</v>
      </c>
      <c r="D113" s="23"/>
      <c r="E113" s="23" t="s">
        <v>19</v>
      </c>
      <c r="F113" s="23" t="s">
        <v>120</v>
      </c>
      <c r="G113" s="23" t="s">
        <v>131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20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 spans="1:38" ht="15" customHeight="1">
      <c r="A114" s="24"/>
      <c r="B114" s="23" t="s">
        <v>78</v>
      </c>
      <c r="C114" s="24" t="s">
        <v>18</v>
      </c>
      <c r="D114" s="23"/>
      <c r="E114" s="23" t="s">
        <v>19</v>
      </c>
      <c r="F114" s="23" t="s">
        <v>120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</row>
    <row r="115" spans="1:38" ht="15" customHeight="1">
      <c r="A115" s="24">
        <v>55</v>
      </c>
      <c r="B115" s="23" t="s">
        <v>79</v>
      </c>
      <c r="C115" s="24" t="s">
        <v>18</v>
      </c>
      <c r="D115" s="23"/>
      <c r="E115" s="23" t="s">
        <v>19</v>
      </c>
      <c r="F115" s="23"/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</row>
    <row r="116" spans="1:38" ht="15" customHeight="1">
      <c r="A116" s="24">
        <v>56</v>
      </c>
      <c r="B116" s="23" t="s">
        <v>80</v>
      </c>
      <c r="C116" s="24" t="s">
        <v>18</v>
      </c>
      <c r="D116" s="23"/>
      <c r="E116" s="23" t="s">
        <v>19</v>
      </c>
      <c r="F116" s="23" t="s">
        <v>419</v>
      </c>
      <c r="G116" s="23" t="s">
        <v>142</v>
      </c>
      <c r="H116" s="25">
        <v>12</v>
      </c>
      <c r="I116" s="1">
        <v>6</v>
      </c>
      <c r="J116" s="26">
        <v>7</v>
      </c>
      <c r="K116" s="27">
        <f t="shared" si="3"/>
        <v>0</v>
      </c>
      <c r="L116" s="27"/>
      <c r="M116" s="27"/>
      <c r="N116" s="1">
        <v>4</v>
      </c>
      <c r="O116" s="27">
        <f t="shared" si="4"/>
        <v>0</v>
      </c>
      <c r="P116" s="27"/>
      <c r="Q116" s="27"/>
      <c r="R116" s="20"/>
    </row>
    <row r="117" spans="1:38" s="7" customFormat="1" ht="15" customHeight="1">
      <c r="A117" s="24"/>
      <c r="B117" s="23" t="s">
        <v>80</v>
      </c>
      <c r="C117" s="24" t="s">
        <v>18</v>
      </c>
      <c r="D117" s="23"/>
      <c r="E117" s="23" t="s">
        <v>19</v>
      </c>
      <c r="F117" s="23" t="s">
        <v>120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s="7" customFormat="1" ht="15" customHeight="1">
      <c r="A118" s="24">
        <v>57</v>
      </c>
      <c r="B118" s="23" t="s">
        <v>372</v>
      </c>
      <c r="C118" s="24" t="s">
        <v>18</v>
      </c>
      <c r="D118" s="23"/>
      <c r="E118" s="23" t="s">
        <v>19</v>
      </c>
      <c r="F118" s="23" t="s">
        <v>420</v>
      </c>
      <c r="G118" s="23" t="s">
        <v>142</v>
      </c>
      <c r="H118" s="25">
        <v>4</v>
      </c>
      <c r="I118" s="1"/>
      <c r="J118" s="26"/>
      <c r="K118" s="27">
        <v>0</v>
      </c>
      <c r="L118" s="27"/>
      <c r="M118" s="27"/>
      <c r="N118" s="1"/>
      <c r="O118" s="27">
        <v>0</v>
      </c>
      <c r="P118" s="27"/>
      <c r="Q118" s="27"/>
      <c r="R118" s="20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 spans="1:38" s="7" customFormat="1" ht="15" customHeight="1">
      <c r="A119" s="24">
        <v>58</v>
      </c>
      <c r="B119" s="23" t="s">
        <v>313</v>
      </c>
      <c r="C119" s="24" t="s">
        <v>18</v>
      </c>
      <c r="D119" s="23"/>
      <c r="E119" s="23"/>
      <c r="F119" s="23" t="s">
        <v>342</v>
      </c>
      <c r="G119" s="23" t="s">
        <v>131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/>
      <c r="B120" s="23" t="s">
        <v>313</v>
      </c>
      <c r="C120" s="24" t="s">
        <v>18</v>
      </c>
      <c r="D120" s="23"/>
      <c r="E120" s="23" t="s">
        <v>41</v>
      </c>
      <c r="F120" s="23" t="s">
        <v>366</v>
      </c>
      <c r="G120" s="23" t="s">
        <v>136</v>
      </c>
      <c r="H120" s="25">
        <v>7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373</v>
      </c>
      <c r="C121" s="24" t="s">
        <v>52</v>
      </c>
      <c r="D121" s="23" t="s">
        <v>378</v>
      </c>
      <c r="E121" s="23" t="s">
        <v>104</v>
      </c>
      <c r="F121" s="23" t="s">
        <v>422</v>
      </c>
      <c r="G121" s="23" t="s">
        <v>142</v>
      </c>
      <c r="H121" s="25">
        <v>2</v>
      </c>
      <c r="I121" s="1"/>
      <c r="J121" s="26"/>
      <c r="K121" s="27">
        <v>0</v>
      </c>
      <c r="L121" s="27"/>
      <c r="M121" s="27"/>
      <c r="N121" s="1"/>
      <c r="O121" s="27"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ht="15" customHeight="1">
      <c r="A122" s="24">
        <v>60</v>
      </c>
      <c r="B122" s="23" t="s">
        <v>81</v>
      </c>
      <c r="C122" s="24" t="s">
        <v>18</v>
      </c>
      <c r="D122" s="23"/>
      <c r="E122" s="23" t="s">
        <v>19</v>
      </c>
      <c r="F122" s="23" t="s">
        <v>421</v>
      </c>
      <c r="G122" s="23" t="s">
        <v>142</v>
      </c>
      <c r="H122" s="25">
        <v>1</v>
      </c>
      <c r="I122" s="1"/>
      <c r="J122" s="26"/>
      <c r="K122" s="27">
        <f t="shared" si="3"/>
        <v>0</v>
      </c>
      <c r="L122" s="27"/>
      <c r="M122" s="27"/>
      <c r="N122" s="1">
        <v>1</v>
      </c>
      <c r="O122" s="27">
        <f t="shared" si="4"/>
        <v>2479.17</v>
      </c>
      <c r="P122" s="27">
        <v>2479.17</v>
      </c>
      <c r="Q122" s="27"/>
      <c r="R122" s="20"/>
    </row>
    <row r="123" spans="1:38" ht="15" customHeight="1">
      <c r="A123" s="24"/>
      <c r="B123" s="23" t="s">
        <v>81</v>
      </c>
      <c r="C123" s="24" t="s">
        <v>18</v>
      </c>
      <c r="D123" s="23"/>
      <c r="E123" s="23" t="s">
        <v>19</v>
      </c>
      <c r="F123" s="23" t="s">
        <v>292</v>
      </c>
      <c r="G123" s="23" t="s">
        <v>122</v>
      </c>
      <c r="H123" s="25">
        <v>0</v>
      </c>
      <c r="I123" s="1"/>
      <c r="J123" s="26"/>
      <c r="K123" s="27">
        <f t="shared" si="3"/>
        <v>0</v>
      </c>
      <c r="L123" s="27"/>
      <c r="M123" s="27"/>
      <c r="N123" s="1">
        <v>1</v>
      </c>
      <c r="O123" s="27">
        <f t="shared" si="4"/>
        <v>0</v>
      </c>
      <c r="P123" s="27"/>
      <c r="Q123" s="27"/>
      <c r="R123" s="20"/>
    </row>
    <row r="124" spans="1:38" s="7" customFormat="1" ht="15" customHeight="1">
      <c r="A124" s="24">
        <v>61</v>
      </c>
      <c r="B124" s="23" t="s">
        <v>82</v>
      </c>
      <c r="C124" s="24" t="s">
        <v>18</v>
      </c>
      <c r="D124" s="23"/>
      <c r="E124" s="23" t="s">
        <v>19</v>
      </c>
      <c r="F124" s="23" t="s">
        <v>423</v>
      </c>
      <c r="G124" s="23" t="s">
        <v>142</v>
      </c>
      <c r="H124" s="25">
        <v>9</v>
      </c>
      <c r="I124" s="1">
        <v>5</v>
      </c>
      <c r="J124" s="26">
        <v>5</v>
      </c>
      <c r="K124" s="27">
        <f t="shared" si="3"/>
        <v>0</v>
      </c>
      <c r="L124" s="27"/>
      <c r="M124" s="27"/>
      <c r="N124" s="1">
        <v>4</v>
      </c>
      <c r="O124" s="27">
        <f t="shared" si="4"/>
        <v>0</v>
      </c>
      <c r="P124" s="27"/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s="7" customFormat="1" ht="15" customHeight="1">
      <c r="A125" s="24"/>
      <c r="B125" s="23" t="s">
        <v>82</v>
      </c>
      <c r="C125" s="24" t="s">
        <v>18</v>
      </c>
      <c r="D125" s="23"/>
      <c r="E125" s="23" t="s">
        <v>19</v>
      </c>
      <c r="F125" s="23" t="s">
        <v>295</v>
      </c>
      <c r="G125" s="23" t="s">
        <v>122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>
        <v>2</v>
      </c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4.45" customHeight="1">
      <c r="A126" s="24">
        <v>62</v>
      </c>
      <c r="B126" s="23" t="s">
        <v>83</v>
      </c>
      <c r="C126" s="24" t="s">
        <v>30</v>
      </c>
      <c r="D126" s="23" t="s">
        <v>184</v>
      </c>
      <c r="E126" s="23" t="s">
        <v>19</v>
      </c>
      <c r="F126" s="23" t="s">
        <v>424</v>
      </c>
      <c r="G126" s="23" t="s">
        <v>142</v>
      </c>
      <c r="H126" s="25">
        <v>29</v>
      </c>
      <c r="I126" s="1">
        <v>15</v>
      </c>
      <c r="J126" s="26">
        <v>15</v>
      </c>
      <c r="K126" s="27">
        <f t="shared" si="3"/>
        <v>0</v>
      </c>
      <c r="L126" s="27"/>
      <c r="M126" s="27"/>
      <c r="N126" s="1">
        <v>8</v>
      </c>
      <c r="O126" s="27">
        <f t="shared" si="4"/>
        <v>4741.68</v>
      </c>
      <c r="P126" s="27">
        <v>4741.68</v>
      </c>
      <c r="Q126" s="27"/>
      <c r="R126" s="20"/>
    </row>
    <row r="127" spans="1:38" ht="14.45" customHeight="1">
      <c r="A127" s="24">
        <v>63</v>
      </c>
      <c r="B127" s="23" t="s">
        <v>303</v>
      </c>
      <c r="C127" s="24" t="s">
        <v>18</v>
      </c>
      <c r="D127" s="23"/>
      <c r="E127" s="23" t="s">
        <v>304</v>
      </c>
      <c r="F127" s="23" t="s">
        <v>298</v>
      </c>
      <c r="G127" s="23" t="s">
        <v>131</v>
      </c>
      <c r="H127" s="25">
        <v>8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s="7" customFormat="1" ht="15" customHeight="1">
      <c r="A128" s="24">
        <v>64</v>
      </c>
      <c r="B128" s="23" t="s">
        <v>84</v>
      </c>
      <c r="C128" s="24" t="s">
        <v>18</v>
      </c>
      <c r="D128" s="23"/>
      <c r="E128" s="23" t="s">
        <v>19</v>
      </c>
      <c r="F128" s="23" t="s">
        <v>425</v>
      </c>
      <c r="G128" s="23" t="s">
        <v>142</v>
      </c>
      <c r="H128" s="25">
        <v>11</v>
      </c>
      <c r="I128" s="1">
        <v>6</v>
      </c>
      <c r="J128" s="26">
        <v>6</v>
      </c>
      <c r="K128" s="27">
        <f t="shared" si="3"/>
        <v>0</v>
      </c>
      <c r="L128" s="27"/>
      <c r="M128" s="27"/>
      <c r="N128" s="1">
        <v>8</v>
      </c>
      <c r="O128" s="27">
        <f t="shared" si="4"/>
        <v>3710.9</v>
      </c>
      <c r="P128" s="27">
        <f>919.46+2791.44</f>
        <v>3710.9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ht="15" customHeight="1">
      <c r="A129" s="24"/>
      <c r="B129" s="23" t="s">
        <v>84</v>
      </c>
      <c r="C129" s="24" t="s">
        <v>18</v>
      </c>
      <c r="D129" s="23"/>
      <c r="E129" s="23" t="s">
        <v>19</v>
      </c>
      <c r="F129" s="23" t="s">
        <v>123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65</v>
      </c>
      <c r="B130" s="23" t="s">
        <v>85</v>
      </c>
      <c r="C130" s="24" t="s">
        <v>18</v>
      </c>
      <c r="D130" s="23"/>
      <c r="E130" s="23" t="s">
        <v>77</v>
      </c>
      <c r="F130" s="23" t="s">
        <v>426</v>
      </c>
      <c r="G130" s="23" t="s">
        <v>142</v>
      </c>
      <c r="H130" s="25">
        <v>11</v>
      </c>
      <c r="I130" s="1"/>
      <c r="J130" s="26"/>
      <c r="K130" s="27">
        <f t="shared" si="3"/>
        <v>0</v>
      </c>
      <c r="L130" s="27"/>
      <c r="M130" s="27"/>
      <c r="N130" s="1">
        <v>9</v>
      </c>
      <c r="O130" s="27">
        <f t="shared" si="4"/>
        <v>0</v>
      </c>
      <c r="P130" s="27"/>
      <c r="Q130" s="27"/>
      <c r="R130" s="20"/>
    </row>
    <row r="131" spans="1:38" ht="15" customHeight="1">
      <c r="A131" s="24"/>
      <c r="B131" s="23" t="s">
        <v>85</v>
      </c>
      <c r="C131" s="24" t="s">
        <v>18</v>
      </c>
      <c r="D131" s="23"/>
      <c r="E131" s="23" t="s">
        <v>301</v>
      </c>
      <c r="F131" s="23" t="s">
        <v>337</v>
      </c>
      <c r="G131" s="23" t="s">
        <v>131</v>
      </c>
      <c r="H131" s="25">
        <v>19</v>
      </c>
      <c r="I131" s="1"/>
      <c r="J131" s="26"/>
      <c r="K131" s="27">
        <f t="shared" si="3"/>
        <v>0</v>
      </c>
      <c r="L131" s="27"/>
      <c r="M131" s="27"/>
      <c r="N131" s="1">
        <v>5</v>
      </c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86</v>
      </c>
      <c r="C132" s="24" t="s">
        <v>18</v>
      </c>
      <c r="D132" s="23"/>
      <c r="E132" s="23" t="s">
        <v>77</v>
      </c>
      <c r="F132" s="23" t="s">
        <v>427</v>
      </c>
      <c r="G132" s="23" t="s">
        <v>142</v>
      </c>
      <c r="H132" s="25">
        <v>7</v>
      </c>
      <c r="I132" s="1"/>
      <c r="J132" s="26"/>
      <c r="K132" s="27">
        <f t="shared" si="3"/>
        <v>0</v>
      </c>
      <c r="L132" s="27"/>
      <c r="M132" s="27"/>
      <c r="N132" s="1">
        <v>3</v>
      </c>
      <c r="O132" s="27">
        <f t="shared" si="4"/>
        <v>3824.23</v>
      </c>
      <c r="P132" s="27">
        <f>1359.87+2464.36</f>
        <v>3824.23</v>
      </c>
      <c r="Q132" s="27"/>
      <c r="R132" s="20"/>
    </row>
    <row r="133" spans="1:38" ht="15" customHeight="1">
      <c r="A133" s="24"/>
      <c r="B133" s="23" t="s">
        <v>86</v>
      </c>
      <c r="C133" s="24" t="s">
        <v>18</v>
      </c>
      <c r="D133" s="23"/>
      <c r="E133" s="23" t="s">
        <v>301</v>
      </c>
      <c r="F133" s="23" t="s">
        <v>338</v>
      </c>
      <c r="G133" s="23" t="s">
        <v>131</v>
      </c>
      <c r="H133" s="25">
        <v>1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28.9" customHeight="1">
      <c r="A134" s="29">
        <v>67</v>
      </c>
      <c r="B134" s="30" t="s">
        <v>87</v>
      </c>
      <c r="C134" s="29" t="s">
        <v>52</v>
      </c>
      <c r="D134" s="30" t="s">
        <v>88</v>
      </c>
      <c r="E134" s="30" t="s">
        <v>19</v>
      </c>
      <c r="F134" s="30" t="s">
        <v>292</v>
      </c>
      <c r="G134" s="30" t="s">
        <v>142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/>
      <c r="O134" s="27">
        <f t="shared" si="4"/>
        <v>0</v>
      </c>
      <c r="P134" s="27"/>
      <c r="Q134" s="27"/>
      <c r="R134" s="20"/>
    </row>
    <row r="135" spans="1:38" ht="29.25" customHeight="1">
      <c r="A135" s="29"/>
      <c r="B135" s="30" t="s">
        <v>87</v>
      </c>
      <c r="C135" s="29" t="s">
        <v>52</v>
      </c>
      <c r="D135" s="30" t="s">
        <v>88</v>
      </c>
      <c r="E135" s="30" t="s">
        <v>19</v>
      </c>
      <c r="F135" s="30" t="s">
        <v>376</v>
      </c>
      <c r="G135" s="30" t="s">
        <v>122</v>
      </c>
      <c r="H135" s="25">
        <v>6</v>
      </c>
      <c r="I135" s="1"/>
      <c r="J135" s="26"/>
      <c r="K135" s="27">
        <f t="shared" si="3"/>
        <v>0</v>
      </c>
      <c r="L135" s="27"/>
      <c r="M135" s="27"/>
      <c r="N135" s="1">
        <v>1</v>
      </c>
      <c r="O135" s="27">
        <f t="shared" si="4"/>
        <v>440.5</v>
      </c>
      <c r="P135" s="27">
        <v>440.5</v>
      </c>
      <c r="Q135" s="27"/>
      <c r="R135" s="20"/>
    </row>
    <row r="136" spans="1:38" ht="26.25" customHeight="1">
      <c r="A136" s="24">
        <v>68</v>
      </c>
      <c r="B136" s="23" t="s">
        <v>89</v>
      </c>
      <c r="C136" s="24" t="s">
        <v>18</v>
      </c>
      <c r="D136" s="23"/>
      <c r="E136" s="23" t="s">
        <v>19</v>
      </c>
      <c r="F136" s="23" t="s">
        <v>428</v>
      </c>
      <c r="G136" s="23" t="s">
        <v>142</v>
      </c>
      <c r="H136" s="25">
        <v>2</v>
      </c>
      <c r="I136" s="1">
        <v>1</v>
      </c>
      <c r="J136" s="26">
        <v>1</v>
      </c>
      <c r="K136" s="27">
        <f t="shared" si="3"/>
        <v>0</v>
      </c>
      <c r="L136" s="27"/>
      <c r="M136" s="27"/>
      <c r="N136" s="1">
        <v>6</v>
      </c>
      <c r="O136" s="27">
        <f t="shared" si="4"/>
        <v>1217</v>
      </c>
      <c r="P136" s="27">
        <v>1217</v>
      </c>
      <c r="Q136" s="27"/>
      <c r="R136" s="20"/>
    </row>
    <row r="137" spans="1:38" s="7" customFormat="1" ht="15" customHeight="1">
      <c r="A137" s="24"/>
      <c r="B137" s="23" t="s">
        <v>89</v>
      </c>
      <c r="C137" s="24" t="s">
        <v>18</v>
      </c>
      <c r="D137" s="23"/>
      <c r="E137" s="23" t="s">
        <v>19</v>
      </c>
      <c r="F137" s="23" t="s">
        <v>120</v>
      </c>
      <c r="G137" s="23" t="s">
        <v>122</v>
      </c>
      <c r="H137" s="25">
        <v>1</v>
      </c>
      <c r="I137" s="1"/>
      <c r="J137" s="26"/>
      <c r="K137" s="27">
        <f t="shared" si="3"/>
        <v>0</v>
      </c>
      <c r="L137" s="27"/>
      <c r="M137" s="27"/>
      <c r="N137" s="1">
        <v>1</v>
      </c>
      <c r="O137" s="27">
        <f t="shared" si="4"/>
        <v>0</v>
      </c>
      <c r="P137" s="27"/>
      <c r="Q137" s="27"/>
      <c r="R137" s="20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 spans="1:38" ht="15" customHeight="1">
      <c r="A138" s="24">
        <v>69</v>
      </c>
      <c r="B138" s="23" t="s">
        <v>90</v>
      </c>
      <c r="C138" s="24" t="s">
        <v>18</v>
      </c>
      <c r="D138" s="23"/>
      <c r="E138" s="23" t="s">
        <v>19</v>
      </c>
      <c r="F138" s="23" t="s">
        <v>429</v>
      </c>
      <c r="G138" s="23" t="s">
        <v>142</v>
      </c>
      <c r="H138" s="25">
        <v>3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20"/>
    </row>
    <row r="139" spans="1:38" s="7" customFormat="1" ht="15" customHeight="1">
      <c r="A139" s="24">
        <v>70</v>
      </c>
      <c r="B139" s="23" t="s">
        <v>91</v>
      </c>
      <c r="C139" s="24" t="s">
        <v>18</v>
      </c>
      <c r="D139" s="23"/>
      <c r="E139" s="23" t="s">
        <v>92</v>
      </c>
      <c r="F139" s="23" t="s">
        <v>292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11</v>
      </c>
      <c r="O139" s="27">
        <f t="shared" si="4"/>
        <v>0</v>
      </c>
      <c r="P139" s="27"/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s="7" customFormat="1" ht="15" customHeight="1">
      <c r="A140" s="24"/>
      <c r="B140" s="23" t="s">
        <v>91</v>
      </c>
      <c r="C140" s="24" t="s">
        <v>18</v>
      </c>
      <c r="D140" s="23"/>
      <c r="E140" s="23" t="s">
        <v>92</v>
      </c>
      <c r="F140" s="23" t="s">
        <v>123</v>
      </c>
      <c r="G140" s="23" t="s">
        <v>136</v>
      </c>
      <c r="H140" s="25">
        <v>0</v>
      </c>
      <c r="I140" s="2"/>
      <c r="J140" s="26"/>
      <c r="K140" s="27">
        <f t="shared" si="3"/>
        <v>0</v>
      </c>
      <c r="L140" s="27"/>
      <c r="M140" s="27"/>
      <c r="N140" s="2">
        <v>3</v>
      </c>
      <c r="O140" s="27">
        <f t="shared" si="4"/>
        <v>0</v>
      </c>
      <c r="P140" s="27"/>
      <c r="Q140" s="27"/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15" customHeight="1">
      <c r="A141" s="24">
        <v>71</v>
      </c>
      <c r="B141" s="23" t="s">
        <v>93</v>
      </c>
      <c r="C141" s="24" t="s">
        <v>18</v>
      </c>
      <c r="D141" s="23"/>
      <c r="E141" s="23" t="s">
        <v>19</v>
      </c>
      <c r="F141" s="23" t="s">
        <v>123</v>
      </c>
      <c r="G141" s="23" t="s">
        <v>142</v>
      </c>
      <c r="H141" s="25">
        <v>0</v>
      </c>
      <c r="I141" s="2"/>
      <c r="J141" s="26"/>
      <c r="K141" s="27">
        <f t="shared" si="3"/>
        <v>0</v>
      </c>
      <c r="L141" s="27"/>
      <c r="M141" s="27"/>
      <c r="N141" s="2">
        <v>1</v>
      </c>
      <c r="O141" s="27">
        <f t="shared" si="4"/>
        <v>0</v>
      </c>
      <c r="P141" s="27"/>
      <c r="Q141" s="27"/>
      <c r="R141" s="20"/>
    </row>
    <row r="142" spans="1:38" s="17" customFormat="1" ht="15" customHeight="1">
      <c r="A142" s="24"/>
      <c r="B142" s="23" t="s">
        <v>93</v>
      </c>
      <c r="C142" s="24" t="s">
        <v>18</v>
      </c>
      <c r="D142" s="23"/>
      <c r="E142" s="23" t="s">
        <v>19</v>
      </c>
      <c r="F142" s="23" t="s">
        <v>120</v>
      </c>
      <c r="G142" s="23" t="s">
        <v>131</v>
      </c>
      <c r="H142" s="25">
        <v>0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</row>
    <row r="143" spans="1:38" ht="15" customHeight="1">
      <c r="A143" s="24"/>
      <c r="B143" s="23" t="s">
        <v>93</v>
      </c>
      <c r="C143" s="24" t="s">
        <v>18</v>
      </c>
      <c r="D143" s="23"/>
      <c r="E143" s="23"/>
      <c r="F143" s="23" t="s">
        <v>268</v>
      </c>
      <c r="G143" s="23" t="s">
        <v>122</v>
      </c>
      <c r="H143" s="25">
        <v>5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>
        <v>72</v>
      </c>
      <c r="B144" s="23" t="s">
        <v>281</v>
      </c>
      <c r="C144" s="24" t="s">
        <v>18</v>
      </c>
      <c r="D144" s="23"/>
      <c r="E144" s="23" t="s">
        <v>19</v>
      </c>
      <c r="F144" s="23" t="s">
        <v>430</v>
      </c>
      <c r="G144" s="23" t="s">
        <v>142</v>
      </c>
      <c r="H144" s="25">
        <v>6</v>
      </c>
      <c r="I144" s="1">
        <v>4</v>
      </c>
      <c r="J144" s="26">
        <v>4</v>
      </c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281</v>
      </c>
      <c r="C145" s="24" t="s">
        <v>18</v>
      </c>
      <c r="D145" s="23"/>
      <c r="E145" s="23" t="s">
        <v>19</v>
      </c>
      <c r="F145" s="23" t="s">
        <v>285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0</v>
      </c>
      <c r="P145" s="27"/>
      <c r="Q145" s="27"/>
      <c r="R145" s="20"/>
    </row>
    <row r="146" spans="1:38" ht="15" customHeight="1">
      <c r="A146" s="24"/>
      <c r="B146" s="23" t="s">
        <v>281</v>
      </c>
      <c r="C146" s="24" t="s">
        <v>18</v>
      </c>
      <c r="D146" s="23"/>
      <c r="E146" s="23" t="s">
        <v>19</v>
      </c>
      <c r="F146" s="23" t="s">
        <v>349</v>
      </c>
      <c r="G146" s="23" t="s">
        <v>122</v>
      </c>
      <c r="H146" s="25">
        <v>11</v>
      </c>
      <c r="I146" s="1"/>
      <c r="J146" s="26"/>
      <c r="K146" s="27">
        <f t="shared" si="3"/>
        <v>0</v>
      </c>
      <c r="L146" s="27"/>
      <c r="M146" s="27"/>
      <c r="N146" s="1">
        <v>2</v>
      </c>
      <c r="O146" s="27">
        <f t="shared" si="4"/>
        <v>1019.74</v>
      </c>
      <c r="P146" s="27">
        <v>1019.74</v>
      </c>
      <c r="Q146" s="27"/>
      <c r="R146" s="20"/>
    </row>
    <row r="147" spans="1:38" ht="15" customHeight="1">
      <c r="A147" s="24">
        <v>73</v>
      </c>
      <c r="B147" s="23" t="s">
        <v>94</v>
      </c>
      <c r="C147" s="24" t="s">
        <v>18</v>
      </c>
      <c r="D147" s="23"/>
      <c r="E147" s="23" t="s">
        <v>95</v>
      </c>
      <c r="F147" s="23" t="s">
        <v>431</v>
      </c>
      <c r="G147" s="23" t="s">
        <v>142</v>
      </c>
      <c r="H147" s="25">
        <v>14</v>
      </c>
      <c r="I147" s="1">
        <v>4</v>
      </c>
      <c r="J147" s="26">
        <v>4</v>
      </c>
      <c r="K147" s="27">
        <f t="shared" si="3"/>
        <v>0</v>
      </c>
      <c r="L147" s="27"/>
      <c r="M147" s="27"/>
      <c r="N147" s="1">
        <v>6</v>
      </c>
      <c r="O147" s="27">
        <f t="shared" si="4"/>
        <v>0</v>
      </c>
      <c r="P147" s="27"/>
      <c r="Q147" s="27"/>
      <c r="R147" s="20"/>
    </row>
    <row r="148" spans="1:38" s="7" customFormat="1" ht="15" customHeight="1">
      <c r="A148" s="24"/>
      <c r="B148" s="23" t="s">
        <v>128</v>
      </c>
      <c r="C148" s="24" t="s">
        <v>18</v>
      </c>
      <c r="D148" s="23"/>
      <c r="E148" s="23" t="s">
        <v>95</v>
      </c>
      <c r="F148" s="23" t="s">
        <v>319</v>
      </c>
      <c r="G148" s="23" t="s">
        <v>124</v>
      </c>
      <c r="H148" s="25">
        <v>3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2753.33</v>
      </c>
      <c r="P148" s="27">
        <v>2753.33</v>
      </c>
      <c r="Q148" s="27"/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ht="15" customHeight="1">
      <c r="A149" s="24"/>
      <c r="B149" s="23" t="s">
        <v>128</v>
      </c>
      <c r="C149" s="24" t="s">
        <v>18</v>
      </c>
      <c r="D149" s="23"/>
      <c r="E149" s="23" t="s">
        <v>95</v>
      </c>
      <c r="F149" s="23" t="s">
        <v>123</v>
      </c>
      <c r="G149" s="23" t="s">
        <v>131</v>
      </c>
      <c r="H149" s="25">
        <v>0</v>
      </c>
      <c r="I149" s="2"/>
      <c r="J149" s="26"/>
      <c r="K149" s="27">
        <f t="shared" si="3"/>
        <v>0</v>
      </c>
      <c r="L149" s="27"/>
      <c r="M149" s="27"/>
      <c r="N149" s="2"/>
      <c r="O149" s="27">
        <f t="shared" si="4"/>
        <v>0</v>
      </c>
      <c r="P149" s="27"/>
      <c r="Q149" s="27"/>
      <c r="R149" s="20"/>
    </row>
    <row r="150" spans="1:38" ht="15" customHeight="1">
      <c r="A150" s="24">
        <v>74</v>
      </c>
      <c r="B150" s="23" t="s">
        <v>96</v>
      </c>
      <c r="C150" s="24" t="s">
        <v>18</v>
      </c>
      <c r="D150" s="23"/>
      <c r="E150" s="23" t="s">
        <v>19</v>
      </c>
      <c r="F150" s="23" t="s">
        <v>432</v>
      </c>
      <c r="G150" s="23" t="s">
        <v>142</v>
      </c>
      <c r="H150" s="25">
        <v>4</v>
      </c>
      <c r="I150" s="1"/>
      <c r="J150" s="26"/>
      <c r="K150" s="27">
        <f t="shared" si="3"/>
        <v>0</v>
      </c>
      <c r="L150" s="27"/>
      <c r="M150" s="27"/>
      <c r="N150" s="1">
        <v>1</v>
      </c>
      <c r="O150" s="27">
        <f t="shared" si="4"/>
        <v>0</v>
      </c>
      <c r="P150" s="27"/>
      <c r="Q150" s="27"/>
      <c r="R150" s="20"/>
    </row>
    <row r="151" spans="1:38" ht="15" customHeight="1">
      <c r="A151" s="24"/>
      <c r="B151" s="23" t="s">
        <v>96</v>
      </c>
      <c r="C151" s="24" t="s">
        <v>18</v>
      </c>
      <c r="D151" s="23"/>
      <c r="E151" s="23" t="s">
        <v>19</v>
      </c>
      <c r="F151" s="23" t="s">
        <v>292</v>
      </c>
      <c r="G151" s="23" t="s">
        <v>131</v>
      </c>
      <c r="H151" s="25">
        <v>0</v>
      </c>
      <c r="I151" s="1"/>
      <c r="J151" s="26"/>
      <c r="K151" s="27">
        <f t="shared" si="3"/>
        <v>0</v>
      </c>
      <c r="L151" s="27"/>
      <c r="M151" s="27"/>
      <c r="N151" s="1">
        <v>1</v>
      </c>
      <c r="O151" s="27">
        <f t="shared" si="4"/>
        <v>0</v>
      </c>
      <c r="P151" s="27"/>
      <c r="Q151" s="27"/>
      <c r="R151" s="20"/>
    </row>
    <row r="152" spans="1:38" ht="15" customHeight="1">
      <c r="A152" s="24"/>
      <c r="B152" s="23" t="s">
        <v>96</v>
      </c>
      <c r="C152" s="24" t="s">
        <v>18</v>
      </c>
      <c r="D152" s="23"/>
      <c r="E152" s="23" t="s">
        <v>19</v>
      </c>
      <c r="F152" s="23" t="s">
        <v>447</v>
      </c>
      <c r="G152" s="23" t="s">
        <v>122</v>
      </c>
      <c r="H152" s="25">
        <v>5</v>
      </c>
      <c r="I152" s="1"/>
      <c r="J152" s="26"/>
      <c r="K152" s="27">
        <f t="shared" si="3"/>
        <v>0</v>
      </c>
      <c r="L152" s="27"/>
      <c r="M152" s="27"/>
      <c r="N152" s="1">
        <v>1</v>
      </c>
      <c r="O152" s="27">
        <f t="shared" si="4"/>
        <v>0</v>
      </c>
      <c r="P152" s="27"/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2" t="s">
        <v>19</v>
      </c>
      <c r="F153" s="23" t="s">
        <v>367</v>
      </c>
      <c r="G153" s="22" t="s">
        <v>136</v>
      </c>
      <c r="H153" s="45">
        <v>4</v>
      </c>
      <c r="I153" s="1"/>
      <c r="J153" s="26"/>
      <c r="K153" s="27">
        <f t="shared" ref="K153:K199" si="6">L153+M153</f>
        <v>0</v>
      </c>
      <c r="L153" s="27"/>
      <c r="M153" s="27"/>
      <c r="N153" s="1"/>
      <c r="O153" s="27">
        <f t="shared" si="4"/>
        <v>0</v>
      </c>
      <c r="P153" s="27"/>
      <c r="Q153" s="27"/>
      <c r="R153" s="20"/>
    </row>
    <row r="154" spans="1:38" ht="15" customHeight="1">
      <c r="A154" s="24">
        <v>75</v>
      </c>
      <c r="B154" s="23" t="s">
        <v>97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3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5" customHeight="1">
      <c r="A155" s="24">
        <v>76</v>
      </c>
      <c r="B155" s="23" t="s">
        <v>98</v>
      </c>
      <c r="C155" s="24" t="s">
        <v>18</v>
      </c>
      <c r="D155" s="23"/>
      <c r="E155" s="23" t="s">
        <v>19</v>
      </c>
      <c r="F155" s="23" t="s">
        <v>433</v>
      </c>
      <c r="G155" s="23" t="s">
        <v>142</v>
      </c>
      <c r="H155" s="25">
        <v>6</v>
      </c>
      <c r="I155" s="1">
        <v>6</v>
      </c>
      <c r="J155" s="26">
        <v>7</v>
      </c>
      <c r="K155" s="27">
        <f t="shared" si="6"/>
        <v>0</v>
      </c>
      <c r="L155" s="27"/>
      <c r="M155" s="27"/>
      <c r="N155" s="1">
        <v>6</v>
      </c>
      <c r="O155" s="27">
        <f t="shared" si="4"/>
        <v>2112.7600000000002</v>
      </c>
      <c r="P155" s="27">
        <f>887.45+1225.31</f>
        <v>2112.7600000000002</v>
      </c>
      <c r="Q155" s="27"/>
      <c r="R155" s="20"/>
    </row>
    <row r="156" spans="1:38" ht="15" customHeight="1">
      <c r="A156" s="24">
        <v>77</v>
      </c>
      <c r="B156" s="23" t="s">
        <v>99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0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24.6" customHeight="1">
      <c r="A157" s="29">
        <v>78</v>
      </c>
      <c r="B157" s="30" t="s">
        <v>100</v>
      </c>
      <c r="C157" s="29" t="s">
        <v>30</v>
      </c>
      <c r="D157" s="30" t="s">
        <v>101</v>
      </c>
      <c r="E157" s="30" t="s">
        <v>19</v>
      </c>
      <c r="F157" s="23" t="s">
        <v>434</v>
      </c>
      <c r="G157" s="30" t="s">
        <v>142</v>
      </c>
      <c r="H157" s="25">
        <v>1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s="7" customFormat="1" ht="29.25" customHeight="1">
      <c r="A158" s="29"/>
      <c r="B158" s="30" t="s">
        <v>100</v>
      </c>
      <c r="C158" s="29" t="s">
        <v>30</v>
      </c>
      <c r="D158" s="30" t="s">
        <v>101</v>
      </c>
      <c r="E158" s="30" t="s">
        <v>19</v>
      </c>
      <c r="F158" s="30" t="s">
        <v>292</v>
      </c>
      <c r="G158" s="30" t="s">
        <v>122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 spans="1:38" ht="26.25" customHeight="1">
      <c r="A159" s="46">
        <v>79</v>
      </c>
      <c r="B159" s="60" t="s">
        <v>144</v>
      </c>
      <c r="C159" s="46" t="s">
        <v>18</v>
      </c>
      <c r="D159" s="60"/>
      <c r="E159" s="60" t="s">
        <v>104</v>
      </c>
      <c r="F159" s="60" t="s">
        <v>120</v>
      </c>
      <c r="G159" s="60" t="s">
        <v>142</v>
      </c>
      <c r="H159" s="61">
        <v>0</v>
      </c>
      <c r="I159" s="1"/>
      <c r="J159" s="26"/>
      <c r="K159" s="27">
        <f t="shared" si="6"/>
        <v>0</v>
      </c>
      <c r="L159" s="63"/>
      <c r="M159" s="63"/>
      <c r="N159" s="1"/>
      <c r="O159" s="63">
        <f t="shared" si="4"/>
        <v>0</v>
      </c>
      <c r="P159" s="63"/>
      <c r="Q159" s="63"/>
      <c r="R159" s="20"/>
    </row>
    <row r="160" spans="1:38" ht="15.75" customHeight="1">
      <c r="A160" s="24">
        <v>80</v>
      </c>
      <c r="B160" s="23" t="s">
        <v>102</v>
      </c>
      <c r="C160" s="24" t="s">
        <v>18</v>
      </c>
      <c r="D160" s="23"/>
      <c r="E160" s="23" t="s">
        <v>19</v>
      </c>
      <c r="F160" s="60" t="s">
        <v>120</v>
      </c>
      <c r="G160" s="23" t="s">
        <v>142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5" customHeight="1">
      <c r="A161" s="24">
        <v>81</v>
      </c>
      <c r="B161" s="23" t="s">
        <v>103</v>
      </c>
      <c r="C161" s="24" t="s">
        <v>18</v>
      </c>
      <c r="D161" s="23"/>
      <c r="E161" s="23" t="s">
        <v>19</v>
      </c>
      <c r="F161" s="60" t="s">
        <v>120</v>
      </c>
      <c r="G161" s="23" t="s">
        <v>142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>
        <v>1</v>
      </c>
      <c r="O161" s="27">
        <f t="shared" si="4"/>
        <v>9916.84</v>
      </c>
      <c r="P161" s="27">
        <f>1061.97+8854.87</f>
        <v>9916.84</v>
      </c>
      <c r="Q161" s="27"/>
      <c r="R161" s="20"/>
    </row>
    <row r="162" spans="1:38" ht="15" customHeight="1">
      <c r="A162" s="24"/>
      <c r="B162" s="23" t="s">
        <v>103</v>
      </c>
      <c r="C162" s="24" t="s">
        <v>18</v>
      </c>
      <c r="D162" s="23"/>
      <c r="E162" s="23" t="s">
        <v>19</v>
      </c>
      <c r="F162" s="23" t="s">
        <v>298</v>
      </c>
      <c r="G162" s="23" t="s">
        <v>122</v>
      </c>
      <c r="H162" s="25">
        <v>5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302</v>
      </c>
      <c r="C163" s="24" t="s">
        <v>18</v>
      </c>
      <c r="D163" s="23"/>
      <c r="E163" s="23" t="s">
        <v>19</v>
      </c>
      <c r="F163" s="23" t="s">
        <v>348</v>
      </c>
      <c r="G163" s="23" t="s">
        <v>122</v>
      </c>
      <c r="H163" s="25">
        <v>5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ht="15" customHeight="1">
      <c r="A164" s="24">
        <v>83</v>
      </c>
      <c r="B164" s="23" t="s">
        <v>328</v>
      </c>
      <c r="C164" s="24" t="s">
        <v>18</v>
      </c>
      <c r="D164" s="23"/>
      <c r="E164" s="23" t="s">
        <v>19</v>
      </c>
      <c r="F164" s="23" t="s">
        <v>347</v>
      </c>
      <c r="G164" s="23" t="s">
        <v>122</v>
      </c>
      <c r="H164" s="25">
        <v>4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20"/>
    </row>
    <row r="165" spans="1:38" ht="15" customHeight="1">
      <c r="A165" s="24">
        <v>84</v>
      </c>
      <c r="B165" s="23" t="s">
        <v>314</v>
      </c>
      <c r="C165" s="24" t="s">
        <v>18</v>
      </c>
      <c r="D165" s="23"/>
      <c r="E165" s="23" t="s">
        <v>19</v>
      </c>
      <c r="F165" s="23" t="s">
        <v>435</v>
      </c>
      <c r="G165" s="23" t="s">
        <v>142</v>
      </c>
      <c r="H165" s="25">
        <v>1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20"/>
    </row>
    <row r="166" spans="1:38" ht="15" customHeight="1">
      <c r="A166" s="24"/>
      <c r="B166" s="23" t="s">
        <v>314</v>
      </c>
      <c r="C166" s="24" t="s">
        <v>18</v>
      </c>
      <c r="D166" s="23"/>
      <c r="E166" s="23" t="s">
        <v>19</v>
      </c>
      <c r="F166" s="23" t="s">
        <v>268</v>
      </c>
      <c r="G166" s="23" t="s">
        <v>136</v>
      </c>
      <c r="H166" s="25">
        <v>2</v>
      </c>
      <c r="I166" s="1"/>
      <c r="J166" s="26"/>
      <c r="K166" s="27"/>
      <c r="L166" s="27"/>
      <c r="M166" s="27"/>
      <c r="N166" s="1"/>
      <c r="O166" s="27"/>
      <c r="P166" s="27"/>
      <c r="Q166" s="27"/>
      <c r="R166" s="20"/>
    </row>
    <row r="167" spans="1:38" ht="15" customHeight="1">
      <c r="A167" s="24">
        <v>85</v>
      </c>
      <c r="B167" s="23" t="s">
        <v>330</v>
      </c>
      <c r="C167" s="24" t="s">
        <v>18</v>
      </c>
      <c r="D167" s="23"/>
      <c r="E167" s="23" t="s">
        <v>104</v>
      </c>
      <c r="F167" s="23" t="s">
        <v>341</v>
      </c>
      <c r="G167" s="23" t="s">
        <v>131</v>
      </c>
      <c r="H167" s="25">
        <v>5</v>
      </c>
      <c r="I167" s="1"/>
      <c r="J167" s="26"/>
      <c r="K167" s="27"/>
      <c r="L167" s="27"/>
      <c r="M167" s="27"/>
      <c r="N167" s="1"/>
      <c r="O167" s="27"/>
      <c r="P167" s="27"/>
      <c r="Q167" s="27"/>
      <c r="R167" s="20"/>
    </row>
    <row r="168" spans="1:38" s="28" customFormat="1" ht="15" customHeight="1">
      <c r="A168" s="24"/>
      <c r="B168" s="23" t="s">
        <v>330</v>
      </c>
      <c r="C168" s="24" t="s">
        <v>18</v>
      </c>
      <c r="D168" s="23"/>
      <c r="E168" s="23" t="s">
        <v>19</v>
      </c>
      <c r="F168" s="23" t="s">
        <v>346</v>
      </c>
      <c r="G168" s="23" t="s">
        <v>122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38" ht="24.75" customHeight="1">
      <c r="A169" s="29">
        <v>86</v>
      </c>
      <c r="B169" s="30" t="s">
        <v>105</v>
      </c>
      <c r="C169" s="29" t="s">
        <v>30</v>
      </c>
      <c r="D169" s="30" t="s">
        <v>106</v>
      </c>
      <c r="E169" s="30" t="s">
        <v>19</v>
      </c>
      <c r="F169" s="30" t="s">
        <v>436</v>
      </c>
      <c r="G169" s="30" t="s">
        <v>142</v>
      </c>
      <c r="H169" s="25">
        <v>8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7706.45</v>
      </c>
      <c r="P169" s="27">
        <f>4712.69+2993.76</f>
        <v>7706.45</v>
      </c>
      <c r="Q169" s="27"/>
      <c r="R169" s="20"/>
    </row>
    <row r="170" spans="1:38" ht="24.75" customHeight="1">
      <c r="A170" s="29">
        <v>87</v>
      </c>
      <c r="B170" s="30" t="s">
        <v>315</v>
      </c>
      <c r="C170" s="29" t="s">
        <v>18</v>
      </c>
      <c r="D170" s="30"/>
      <c r="E170" s="30" t="s">
        <v>19</v>
      </c>
      <c r="F170" s="30" t="s">
        <v>437</v>
      </c>
      <c r="G170" s="30" t="s">
        <v>142</v>
      </c>
      <c r="H170" s="25">
        <v>2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s="28" customFormat="1" ht="24.75" customHeight="1">
      <c r="A171" s="29"/>
      <c r="B171" s="30" t="s">
        <v>315</v>
      </c>
      <c r="C171" s="29" t="s">
        <v>18</v>
      </c>
      <c r="D171" s="30"/>
      <c r="E171" s="30" t="s">
        <v>322</v>
      </c>
      <c r="F171" s="30" t="s">
        <v>323</v>
      </c>
      <c r="G171" s="30" t="s">
        <v>124</v>
      </c>
      <c r="H171" s="25">
        <v>1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38" s="7" customFormat="1" ht="38.450000000000003" customHeight="1">
      <c r="A172" s="29">
        <v>88</v>
      </c>
      <c r="B172" s="30" t="s">
        <v>265</v>
      </c>
      <c r="C172" s="29" t="s">
        <v>18</v>
      </c>
      <c r="D172" s="30"/>
      <c r="E172" s="30" t="s">
        <v>19</v>
      </c>
      <c r="F172" s="30" t="s">
        <v>123</v>
      </c>
      <c r="G172" s="30" t="s">
        <v>142</v>
      </c>
      <c r="H172" s="25">
        <v>0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20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s="7" customFormat="1" ht="38.450000000000003" customHeight="1">
      <c r="A173" s="24">
        <v>89</v>
      </c>
      <c r="B173" s="23" t="s">
        <v>107</v>
      </c>
      <c r="C173" s="24" t="s">
        <v>18</v>
      </c>
      <c r="D173" s="23"/>
      <c r="E173" s="23" t="s">
        <v>41</v>
      </c>
      <c r="F173" s="30" t="s">
        <v>438</v>
      </c>
      <c r="G173" s="23" t="s">
        <v>142</v>
      </c>
      <c r="H173" s="25">
        <v>2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1221.57</v>
      </c>
      <c r="P173" s="27">
        <v>1221.57</v>
      </c>
      <c r="Q173" s="27"/>
      <c r="R173" s="20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 spans="1:38" ht="15.75" customHeight="1">
      <c r="A174" s="24"/>
      <c r="B174" s="23" t="s">
        <v>107</v>
      </c>
      <c r="C174" s="24" t="s">
        <v>18</v>
      </c>
      <c r="D174" s="23"/>
      <c r="E174" s="23" t="s">
        <v>41</v>
      </c>
      <c r="F174" s="23" t="s">
        <v>295</v>
      </c>
      <c r="G174" s="23" t="s">
        <v>136</v>
      </c>
      <c r="H174" s="25">
        <v>9</v>
      </c>
      <c r="I174" s="2">
        <v>2</v>
      </c>
      <c r="J174" s="26">
        <v>2</v>
      </c>
      <c r="K174" s="27">
        <f t="shared" si="6"/>
        <v>0</v>
      </c>
      <c r="L174" s="27"/>
      <c r="M174" s="27"/>
      <c r="N174" s="2">
        <v>10</v>
      </c>
      <c r="O174" s="27">
        <f t="shared" si="4"/>
        <v>0</v>
      </c>
      <c r="P174" s="27"/>
      <c r="Q174" s="27"/>
      <c r="R174" s="20"/>
    </row>
    <row r="175" spans="1:38" ht="16.5" customHeight="1">
      <c r="A175" s="24">
        <v>90</v>
      </c>
      <c r="B175" s="23" t="s">
        <v>108</v>
      </c>
      <c r="C175" s="24" t="s">
        <v>18</v>
      </c>
      <c r="D175" s="23"/>
      <c r="E175" s="23" t="s">
        <v>19</v>
      </c>
      <c r="F175" s="23" t="s">
        <v>439</v>
      </c>
      <c r="G175" s="23" t="s">
        <v>142</v>
      </c>
      <c r="H175" s="25">
        <v>16</v>
      </c>
      <c r="I175" s="1">
        <v>14</v>
      </c>
      <c r="J175" s="26">
        <v>14</v>
      </c>
      <c r="K175" s="27">
        <f t="shared" si="6"/>
        <v>0</v>
      </c>
      <c r="L175" s="27"/>
      <c r="M175" s="27"/>
      <c r="N175" s="1">
        <v>4</v>
      </c>
      <c r="O175" s="27">
        <f t="shared" si="4"/>
        <v>5327.91</v>
      </c>
      <c r="P175" s="27">
        <v>5327.91</v>
      </c>
      <c r="Q175" s="27"/>
      <c r="R175" s="20"/>
    </row>
    <row r="176" spans="1:38" s="7" customFormat="1" ht="16.5" customHeight="1">
      <c r="A176" s="24"/>
      <c r="B176" s="23" t="s">
        <v>108</v>
      </c>
      <c r="C176" s="24" t="s">
        <v>18</v>
      </c>
      <c r="D176" s="23"/>
      <c r="E176" s="23" t="s">
        <v>19</v>
      </c>
      <c r="F176" s="23" t="s">
        <v>345</v>
      </c>
      <c r="G176" s="23" t="s">
        <v>122</v>
      </c>
      <c r="H176" s="25">
        <v>3</v>
      </c>
      <c r="I176" s="1"/>
      <c r="J176" s="26"/>
      <c r="K176" s="27">
        <f t="shared" si="6"/>
        <v>0</v>
      </c>
      <c r="L176" s="27"/>
      <c r="M176" s="27"/>
      <c r="N176" s="1">
        <v>3</v>
      </c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16.5" customHeight="1">
      <c r="A177" s="24">
        <v>91</v>
      </c>
      <c r="B177" s="23" t="s">
        <v>146</v>
      </c>
      <c r="C177" s="24" t="s">
        <v>18</v>
      </c>
      <c r="D177" s="23"/>
      <c r="E177" s="23" t="s">
        <v>104</v>
      </c>
      <c r="F177" s="23" t="s">
        <v>291</v>
      </c>
      <c r="G177" s="23" t="s">
        <v>142</v>
      </c>
      <c r="H177" s="25">
        <v>0</v>
      </c>
      <c r="I177" s="1"/>
      <c r="J177" s="26"/>
      <c r="K177" s="27">
        <f t="shared" si="6"/>
        <v>0</v>
      </c>
      <c r="L177" s="27"/>
      <c r="M177" s="27"/>
      <c r="N177" s="1">
        <v>1</v>
      </c>
      <c r="O177" s="27">
        <f t="shared" si="4"/>
        <v>2891.29</v>
      </c>
      <c r="P177" s="27">
        <v>2891.29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23.45" customHeight="1">
      <c r="A178" s="29">
        <v>92</v>
      </c>
      <c r="B178" s="30" t="s">
        <v>109</v>
      </c>
      <c r="C178" s="29" t="s">
        <v>52</v>
      </c>
      <c r="D178" s="30" t="s">
        <v>110</v>
      </c>
      <c r="E178" s="30" t="s">
        <v>19</v>
      </c>
      <c r="F178" s="30" t="s">
        <v>440</v>
      </c>
      <c r="G178" s="30" t="s">
        <v>142</v>
      </c>
      <c r="H178" s="25">
        <v>21</v>
      </c>
      <c r="I178" s="1">
        <v>12</v>
      </c>
      <c r="J178" s="26">
        <v>12</v>
      </c>
      <c r="K178" s="27">
        <f t="shared" si="6"/>
        <v>0</v>
      </c>
      <c r="L178" s="27"/>
      <c r="M178" s="27"/>
      <c r="N178" s="1">
        <v>11</v>
      </c>
      <c r="O178" s="27">
        <f t="shared" si="4"/>
        <v>9265</v>
      </c>
      <c r="P178" s="27">
        <f>8759.8+505.2</f>
        <v>9265</v>
      </c>
      <c r="Q178" s="27"/>
      <c r="R178" s="20"/>
    </row>
    <row r="179" spans="1:38" s="7" customFormat="1" ht="27" customHeight="1">
      <c r="A179" s="29"/>
      <c r="B179" s="30" t="s">
        <v>109</v>
      </c>
      <c r="C179" s="29" t="s">
        <v>52</v>
      </c>
      <c r="D179" s="30" t="s">
        <v>110</v>
      </c>
      <c r="E179" s="30" t="s">
        <v>19</v>
      </c>
      <c r="F179" s="30" t="s">
        <v>344</v>
      </c>
      <c r="G179" s="30" t="s">
        <v>122</v>
      </c>
      <c r="H179" s="25">
        <v>12</v>
      </c>
      <c r="I179" s="1"/>
      <c r="J179" s="26"/>
      <c r="K179" s="27">
        <f t="shared" si="6"/>
        <v>0</v>
      </c>
      <c r="L179" s="27"/>
      <c r="M179" s="27"/>
      <c r="N179" s="1">
        <v>11</v>
      </c>
      <c r="O179" s="27">
        <f t="shared" si="4"/>
        <v>1762</v>
      </c>
      <c r="P179" s="27">
        <v>1762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27.75" customHeight="1">
      <c r="A180" s="24">
        <v>93</v>
      </c>
      <c r="B180" s="23" t="s">
        <v>111</v>
      </c>
      <c r="C180" s="24" t="s">
        <v>18</v>
      </c>
      <c r="D180" s="23"/>
      <c r="E180" s="23" t="s">
        <v>112</v>
      </c>
      <c r="F180" s="23" t="s">
        <v>441</v>
      </c>
      <c r="G180" s="23" t="s">
        <v>142</v>
      </c>
      <c r="H180" s="25">
        <v>4</v>
      </c>
      <c r="I180" s="1"/>
      <c r="J180" s="26"/>
      <c r="K180" s="27">
        <f t="shared" si="6"/>
        <v>0</v>
      </c>
      <c r="L180" s="27"/>
      <c r="M180" s="27"/>
      <c r="N180" s="1"/>
      <c r="O180" s="27">
        <f t="shared" si="4"/>
        <v>8928</v>
      </c>
      <c r="P180" s="27">
        <v>8928</v>
      </c>
      <c r="Q180" s="27"/>
      <c r="R180" s="20"/>
    </row>
    <row r="181" spans="1:38" ht="16.5" customHeight="1">
      <c r="A181" s="24"/>
      <c r="B181" s="23" t="s">
        <v>111</v>
      </c>
      <c r="C181" s="24" t="s">
        <v>18</v>
      </c>
      <c r="D181" s="23"/>
      <c r="E181" s="23" t="s">
        <v>112</v>
      </c>
      <c r="F181" s="23" t="s">
        <v>123</v>
      </c>
      <c r="G181" s="23" t="s">
        <v>136</v>
      </c>
      <c r="H181" s="25">
        <v>5</v>
      </c>
      <c r="I181" s="2"/>
      <c r="J181" s="26"/>
      <c r="K181" s="27">
        <f t="shared" si="6"/>
        <v>0</v>
      </c>
      <c r="L181" s="27"/>
      <c r="M181" s="27"/>
      <c r="N181" s="2">
        <v>2</v>
      </c>
      <c r="O181" s="27">
        <f t="shared" si="4"/>
        <v>0</v>
      </c>
      <c r="P181" s="27"/>
      <c r="Q181" s="27"/>
      <c r="R181" s="20"/>
    </row>
    <row r="182" spans="1:38" ht="16.5" customHeight="1">
      <c r="A182" s="24">
        <v>94</v>
      </c>
      <c r="B182" s="23" t="s">
        <v>113</v>
      </c>
      <c r="C182" s="24" t="s">
        <v>18</v>
      </c>
      <c r="D182" s="23"/>
      <c r="E182" s="23" t="s">
        <v>19</v>
      </c>
      <c r="F182" s="23" t="s">
        <v>120</v>
      </c>
      <c r="G182" s="23" t="s">
        <v>142</v>
      </c>
      <c r="H182" s="25">
        <v>0</v>
      </c>
      <c r="I182" s="1"/>
      <c r="J182" s="26"/>
      <c r="K182" s="27">
        <f t="shared" si="6"/>
        <v>0</v>
      </c>
      <c r="L182" s="27"/>
      <c r="M182" s="27"/>
      <c r="N182" s="1">
        <v>1</v>
      </c>
      <c r="O182" s="27">
        <f t="shared" si="4"/>
        <v>0</v>
      </c>
      <c r="P182" s="27"/>
      <c r="Q182" s="27"/>
      <c r="R182" s="20"/>
    </row>
    <row r="183" spans="1:38" ht="18.75" customHeight="1">
      <c r="A183" s="24"/>
      <c r="B183" s="23" t="s">
        <v>113</v>
      </c>
      <c r="C183" s="24" t="s">
        <v>18</v>
      </c>
      <c r="D183" s="23"/>
      <c r="E183" s="23" t="s">
        <v>19</v>
      </c>
      <c r="F183" s="23" t="s">
        <v>292</v>
      </c>
      <c r="G183" s="23" t="s">
        <v>122</v>
      </c>
      <c r="H183" s="25">
        <v>10</v>
      </c>
      <c r="I183" s="1"/>
      <c r="J183" s="26"/>
      <c r="K183" s="27">
        <f t="shared" si="6"/>
        <v>0</v>
      </c>
      <c r="L183" s="27"/>
      <c r="M183" s="27"/>
      <c r="N183" s="1">
        <v>10</v>
      </c>
      <c r="O183" s="27">
        <f t="shared" si="4"/>
        <v>0</v>
      </c>
      <c r="P183" s="27"/>
      <c r="Q183" s="27"/>
      <c r="R183" s="20"/>
    </row>
    <row r="184" spans="1:38" ht="20.25" customHeight="1">
      <c r="A184" s="24">
        <v>95</v>
      </c>
      <c r="B184" s="23" t="s">
        <v>114</v>
      </c>
      <c r="C184" s="24" t="s">
        <v>18</v>
      </c>
      <c r="D184" s="23"/>
      <c r="E184" s="23" t="s">
        <v>41</v>
      </c>
      <c r="F184" s="23" t="s">
        <v>443</v>
      </c>
      <c r="G184" s="23" t="s">
        <v>142</v>
      </c>
      <c r="H184" s="25">
        <v>2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7826.67</v>
      </c>
      <c r="P184" s="27">
        <v>7826.67</v>
      </c>
      <c r="Q184" s="27"/>
      <c r="R184" s="20"/>
    </row>
    <row r="185" spans="1:38" ht="16.899999999999999" customHeight="1">
      <c r="A185" s="24"/>
      <c r="B185" s="23" t="s">
        <v>141</v>
      </c>
      <c r="C185" s="24" t="s">
        <v>18</v>
      </c>
      <c r="D185" s="23"/>
      <c r="E185" s="23" t="s">
        <v>41</v>
      </c>
      <c r="F185" s="23" t="s">
        <v>368</v>
      </c>
      <c r="G185" s="23" t="s">
        <v>136</v>
      </c>
      <c r="H185" s="25">
        <v>5</v>
      </c>
      <c r="I185" s="2"/>
      <c r="J185" s="26"/>
      <c r="K185" s="27">
        <f t="shared" si="6"/>
        <v>0</v>
      </c>
      <c r="L185" s="27"/>
      <c r="M185" s="27"/>
      <c r="N185" s="2">
        <v>1</v>
      </c>
      <c r="O185" s="27">
        <f t="shared" si="4"/>
        <v>0</v>
      </c>
      <c r="P185" s="27"/>
      <c r="Q185" s="27"/>
      <c r="R185" s="20"/>
    </row>
    <row r="186" spans="1:38" ht="16.899999999999999" customHeight="1">
      <c r="A186" s="24">
        <v>96</v>
      </c>
      <c r="B186" s="23" t="s">
        <v>309</v>
      </c>
      <c r="C186" s="24" t="s">
        <v>18</v>
      </c>
      <c r="D186" s="23"/>
      <c r="E186" s="23" t="s">
        <v>19</v>
      </c>
      <c r="F186" s="23" t="s">
        <v>442</v>
      </c>
      <c r="G186" s="23" t="s">
        <v>142</v>
      </c>
      <c r="H186" s="25">
        <v>3</v>
      </c>
      <c r="I186" s="2"/>
      <c r="J186" s="26"/>
      <c r="K186" s="27"/>
      <c r="L186" s="27"/>
      <c r="M186" s="27"/>
      <c r="N186" s="2">
        <v>1</v>
      </c>
      <c r="O186" s="27"/>
      <c r="P186" s="27"/>
      <c r="Q186" s="27"/>
      <c r="R186" s="20"/>
    </row>
    <row r="187" spans="1:38" ht="16.899999999999999" customHeight="1">
      <c r="A187" s="24"/>
      <c r="B187" s="23" t="s">
        <v>309</v>
      </c>
      <c r="C187" s="24" t="s">
        <v>18</v>
      </c>
      <c r="D187" s="23"/>
      <c r="E187" s="23" t="s">
        <v>19</v>
      </c>
      <c r="F187" s="23" t="s">
        <v>343</v>
      </c>
      <c r="G187" s="23" t="s">
        <v>122</v>
      </c>
      <c r="H187" s="25">
        <v>4</v>
      </c>
      <c r="I187" s="2"/>
      <c r="J187" s="26"/>
      <c r="K187" s="27">
        <f t="shared" si="6"/>
        <v>0</v>
      </c>
      <c r="L187" s="27"/>
      <c r="M187" s="27"/>
      <c r="N187" s="2"/>
      <c r="O187" s="27">
        <f t="shared" si="4"/>
        <v>0</v>
      </c>
      <c r="P187" s="27"/>
      <c r="Q187" s="27"/>
      <c r="R187" s="20"/>
    </row>
    <row r="188" spans="1:38" ht="16.899999999999999" customHeight="1">
      <c r="A188" s="24"/>
      <c r="B188" s="23" t="s">
        <v>309</v>
      </c>
      <c r="C188" s="24" t="s">
        <v>18</v>
      </c>
      <c r="D188" s="23"/>
      <c r="E188" s="23" t="s">
        <v>19</v>
      </c>
      <c r="F188" s="23" t="s">
        <v>324</v>
      </c>
      <c r="G188" s="23" t="s">
        <v>124</v>
      </c>
      <c r="H188" s="25">
        <v>0</v>
      </c>
      <c r="I188" s="2"/>
      <c r="J188" s="26"/>
      <c r="K188" s="27">
        <f t="shared" si="6"/>
        <v>0</v>
      </c>
      <c r="L188" s="27"/>
      <c r="M188" s="27"/>
      <c r="N188" s="2"/>
      <c r="O188" s="27">
        <f t="shared" si="4"/>
        <v>0</v>
      </c>
      <c r="P188" s="27"/>
      <c r="Q188" s="27"/>
      <c r="R188" s="20"/>
    </row>
    <row r="189" spans="1:38" ht="24.6" customHeight="1">
      <c r="A189" s="29">
        <v>97</v>
      </c>
      <c r="B189" s="30" t="s">
        <v>115</v>
      </c>
      <c r="C189" s="29" t="s">
        <v>52</v>
      </c>
      <c r="D189" s="30" t="s">
        <v>110</v>
      </c>
      <c r="E189" s="30" t="s">
        <v>19</v>
      </c>
      <c r="F189" s="30"/>
      <c r="G189" s="30" t="s">
        <v>142</v>
      </c>
      <c r="H189" s="25">
        <v>0</v>
      </c>
      <c r="I189" s="1"/>
      <c r="J189" s="26"/>
      <c r="K189" s="27">
        <f t="shared" si="6"/>
        <v>0</v>
      </c>
      <c r="L189" s="27"/>
      <c r="M189" s="27"/>
      <c r="N189" s="1">
        <v>1</v>
      </c>
      <c r="O189" s="27">
        <f t="shared" ref="O189:O193" si="7">P189+Q189</f>
        <v>0</v>
      </c>
      <c r="P189" s="27"/>
      <c r="Q189" s="27"/>
      <c r="R189" s="20"/>
    </row>
    <row r="190" spans="1:38" ht="32.25" customHeight="1">
      <c r="A190" s="29"/>
      <c r="B190" s="30" t="s">
        <v>115</v>
      </c>
      <c r="C190" s="29" t="s">
        <v>52</v>
      </c>
      <c r="D190" s="30" t="s">
        <v>110</v>
      </c>
      <c r="E190" s="30" t="s">
        <v>19</v>
      </c>
      <c r="F190" s="30" t="s">
        <v>292</v>
      </c>
      <c r="G190" s="30" t="s">
        <v>122</v>
      </c>
      <c r="H190" s="25">
        <v>0</v>
      </c>
      <c r="I190" s="1"/>
      <c r="J190" s="44"/>
      <c r="K190" s="27">
        <f t="shared" si="6"/>
        <v>0</v>
      </c>
      <c r="L190" s="27"/>
      <c r="M190" s="27"/>
      <c r="N190" s="1">
        <v>1</v>
      </c>
      <c r="O190" s="27">
        <f t="shared" si="7"/>
        <v>0</v>
      </c>
      <c r="P190" s="27"/>
      <c r="Q190" s="27"/>
      <c r="R190" s="20"/>
    </row>
    <row r="191" spans="1:38" ht="34.9" customHeight="1">
      <c r="A191" s="29">
        <v>98</v>
      </c>
      <c r="B191" s="30" t="s">
        <v>116</v>
      </c>
      <c r="C191" s="29" t="s">
        <v>52</v>
      </c>
      <c r="D191" s="30" t="s">
        <v>117</v>
      </c>
      <c r="E191" s="30" t="s">
        <v>19</v>
      </c>
      <c r="F191" s="30" t="s">
        <v>444</v>
      </c>
      <c r="G191" s="30" t="s">
        <v>142</v>
      </c>
      <c r="H191" s="25">
        <v>14</v>
      </c>
      <c r="I191" s="1">
        <v>7</v>
      </c>
      <c r="J191" s="44">
        <v>7</v>
      </c>
      <c r="K191" s="27">
        <f t="shared" si="6"/>
        <v>0</v>
      </c>
      <c r="L191" s="27"/>
      <c r="M191" s="27"/>
      <c r="N191" s="1">
        <v>3</v>
      </c>
      <c r="O191" s="27">
        <f t="shared" si="7"/>
        <v>0</v>
      </c>
      <c r="P191" s="27"/>
      <c r="Q191" s="27"/>
      <c r="R191" s="20"/>
    </row>
    <row r="192" spans="1:38" ht="28.5" customHeight="1">
      <c r="A192" s="29">
        <v>99</v>
      </c>
      <c r="B192" s="30" t="s">
        <v>209</v>
      </c>
      <c r="C192" s="29" t="s">
        <v>18</v>
      </c>
      <c r="D192" s="30"/>
      <c r="E192" s="30" t="s">
        <v>19</v>
      </c>
      <c r="F192" s="30" t="s">
        <v>123</v>
      </c>
      <c r="G192" s="30" t="s">
        <v>142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/>
      <c r="O192" s="27">
        <f t="shared" si="7"/>
        <v>0</v>
      </c>
      <c r="P192" s="27"/>
      <c r="Q192" s="27"/>
      <c r="R192" s="20"/>
    </row>
    <row r="193" spans="1:44" ht="19.5" customHeight="1">
      <c r="A193" s="29">
        <v>100</v>
      </c>
      <c r="B193" s="30" t="s">
        <v>118</v>
      </c>
      <c r="C193" s="29" t="s">
        <v>18</v>
      </c>
      <c r="D193" s="30"/>
      <c r="E193" s="30" t="s">
        <v>41</v>
      </c>
      <c r="F193" s="30" t="s">
        <v>445</v>
      </c>
      <c r="G193" s="30" t="s">
        <v>142</v>
      </c>
      <c r="H193" s="25">
        <v>9</v>
      </c>
      <c r="I193" s="1">
        <v>4</v>
      </c>
      <c r="J193" s="44">
        <v>4</v>
      </c>
      <c r="K193" s="27">
        <f t="shared" si="6"/>
        <v>0</v>
      </c>
      <c r="L193" s="27"/>
      <c r="M193" s="27"/>
      <c r="N193" s="1">
        <v>20</v>
      </c>
      <c r="O193" s="27">
        <f t="shared" si="7"/>
        <v>0</v>
      </c>
      <c r="P193" s="27"/>
      <c r="Q193" s="27"/>
      <c r="R193" s="20"/>
    </row>
    <row r="194" spans="1:44" s="7" customFormat="1" ht="30.6" customHeight="1">
      <c r="A194" s="24"/>
      <c r="B194" s="23" t="s">
        <v>118</v>
      </c>
      <c r="C194" s="24" t="s">
        <v>18</v>
      </c>
      <c r="D194" s="23"/>
      <c r="E194" s="23" t="s">
        <v>41</v>
      </c>
      <c r="F194" s="23" t="s">
        <v>298</v>
      </c>
      <c r="G194" s="23" t="s">
        <v>124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/>
      <c r="O194" s="27">
        <f>P194+Q194</f>
        <v>0</v>
      </c>
      <c r="P194" s="27"/>
      <c r="Q194" s="27"/>
      <c r="R194" s="20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 spans="1:44" s="14" customFormat="1" ht="27" customHeight="1">
      <c r="A195" s="24"/>
      <c r="B195" s="23" t="s">
        <v>118</v>
      </c>
      <c r="C195" s="24" t="s">
        <v>18</v>
      </c>
      <c r="D195" s="23"/>
      <c r="E195" s="23" t="s">
        <v>41</v>
      </c>
      <c r="F195" s="23" t="s">
        <v>123</v>
      </c>
      <c r="G195" s="23" t="s">
        <v>136</v>
      </c>
      <c r="H195" s="25">
        <v>0</v>
      </c>
      <c r="I195" s="2"/>
      <c r="J195" s="26"/>
      <c r="K195" s="27">
        <f t="shared" si="6"/>
        <v>0</v>
      </c>
      <c r="L195" s="27"/>
      <c r="M195" s="27"/>
      <c r="N195" s="2"/>
      <c r="O195" s="27">
        <f>P195+Q195</f>
        <v>0</v>
      </c>
      <c r="P195" s="27"/>
      <c r="Q195" s="27"/>
      <c r="R195" s="20"/>
      <c r="AM195" s="4"/>
      <c r="AN195" s="4"/>
      <c r="AO195" s="4"/>
      <c r="AP195" s="4"/>
      <c r="AQ195" s="4"/>
      <c r="AR195" s="4"/>
    </row>
    <row r="196" spans="1:44" s="14" customFormat="1" ht="27" customHeight="1">
      <c r="A196" s="46">
        <v>101</v>
      </c>
      <c r="B196" s="60" t="s">
        <v>119</v>
      </c>
      <c r="C196" s="46" t="s">
        <v>18</v>
      </c>
      <c r="D196" s="60"/>
      <c r="E196" s="60" t="s">
        <v>19</v>
      </c>
      <c r="F196" s="60" t="s">
        <v>120</v>
      </c>
      <c r="G196" s="60" t="s">
        <v>122</v>
      </c>
      <c r="H196" s="61">
        <v>0</v>
      </c>
      <c r="I196" s="32"/>
      <c r="J196" s="62"/>
      <c r="K196" s="27">
        <f t="shared" si="6"/>
        <v>0</v>
      </c>
      <c r="L196" s="63"/>
      <c r="M196" s="63"/>
      <c r="N196" s="32"/>
      <c r="O196" s="63">
        <v>0</v>
      </c>
      <c r="P196" s="63"/>
      <c r="Q196" s="63"/>
      <c r="R196" s="20"/>
      <c r="AM196" s="4"/>
      <c r="AN196" s="4"/>
      <c r="AO196" s="4"/>
      <c r="AP196" s="4"/>
      <c r="AQ196" s="4"/>
      <c r="AR196" s="4"/>
    </row>
    <row r="197" spans="1:44" s="14" customFormat="1" ht="27" customHeight="1">
      <c r="A197" s="46">
        <v>102</v>
      </c>
      <c r="B197" s="60" t="s">
        <v>325</v>
      </c>
      <c r="C197" s="46" t="s">
        <v>18</v>
      </c>
      <c r="D197" s="60"/>
      <c r="E197" s="60" t="s">
        <v>36</v>
      </c>
      <c r="F197" s="60" t="s">
        <v>446</v>
      </c>
      <c r="G197" s="60" t="s">
        <v>142</v>
      </c>
      <c r="H197" s="61">
        <v>3</v>
      </c>
      <c r="I197" s="32"/>
      <c r="J197" s="62"/>
      <c r="K197" s="27"/>
      <c r="L197" s="63"/>
      <c r="M197" s="63"/>
      <c r="N197" s="32"/>
      <c r="O197" s="63"/>
      <c r="P197" s="63"/>
      <c r="Q197" s="63"/>
      <c r="R197" s="20"/>
      <c r="AM197" s="4"/>
      <c r="AN197" s="4"/>
      <c r="AO197" s="4"/>
      <c r="AP197" s="4"/>
      <c r="AQ197" s="4"/>
      <c r="AR197" s="4"/>
    </row>
    <row r="198" spans="1:44" s="14" customFormat="1" ht="27" customHeight="1">
      <c r="A198" s="46"/>
      <c r="B198" s="23" t="s">
        <v>325</v>
      </c>
      <c r="C198" s="24" t="s">
        <v>18</v>
      </c>
      <c r="D198" s="23"/>
      <c r="E198" s="23" t="s">
        <v>36</v>
      </c>
      <c r="F198" s="23" t="s">
        <v>369</v>
      </c>
      <c r="G198" s="23" t="s">
        <v>124</v>
      </c>
      <c r="H198" s="25">
        <v>0</v>
      </c>
      <c r="I198" s="2"/>
      <c r="J198" s="26"/>
      <c r="K198" s="27">
        <f t="shared" si="6"/>
        <v>0</v>
      </c>
      <c r="L198" s="27"/>
      <c r="M198" s="27"/>
      <c r="N198" s="2"/>
      <c r="O198" s="27">
        <v>0</v>
      </c>
      <c r="P198" s="27"/>
      <c r="Q198" s="27"/>
      <c r="R198" s="20"/>
      <c r="AM198" s="4"/>
      <c r="AN198" s="4"/>
      <c r="AO198" s="4"/>
      <c r="AP198" s="4"/>
      <c r="AQ198" s="4"/>
      <c r="AR198" s="4"/>
    </row>
    <row r="199" spans="1:44" s="14" customFormat="1" ht="18.75" customHeight="1" thickBot="1">
      <c r="A199" s="47"/>
      <c r="B199" s="48" t="s">
        <v>325</v>
      </c>
      <c r="C199" s="49" t="s">
        <v>18</v>
      </c>
      <c r="D199" s="48"/>
      <c r="E199" s="48" t="s">
        <v>370</v>
      </c>
      <c r="F199" s="48" t="s">
        <v>371</v>
      </c>
      <c r="G199" s="48" t="s">
        <v>136</v>
      </c>
      <c r="H199" s="50">
        <v>0</v>
      </c>
      <c r="I199" s="33"/>
      <c r="J199" s="51"/>
      <c r="K199" s="34">
        <f t="shared" si="6"/>
        <v>0</v>
      </c>
      <c r="L199" s="52"/>
      <c r="M199" s="52"/>
      <c r="N199" s="33"/>
      <c r="O199" s="52">
        <f>P199+Q199</f>
        <v>0</v>
      </c>
      <c r="P199" s="52"/>
      <c r="Q199" s="52"/>
      <c r="R199" s="20"/>
      <c r="AM199" s="4"/>
      <c r="AN199" s="4"/>
      <c r="AO199" s="4"/>
      <c r="AP199" s="4"/>
      <c r="AQ199" s="4"/>
      <c r="AR199" s="4"/>
    </row>
    <row r="200" spans="1:44" s="14" customFormat="1" ht="16.5" customHeight="1">
      <c r="A200" s="87" t="s">
        <v>145</v>
      </c>
      <c r="B200" s="87"/>
      <c r="C200" s="88"/>
      <c r="D200" s="89"/>
      <c r="E200" s="89"/>
      <c r="F200" s="89"/>
      <c r="G200" s="89"/>
      <c r="H200" s="88">
        <f>SUM(H10:H199)</f>
        <v>779</v>
      </c>
      <c r="I200" s="88">
        <f>SUM(I10:I199)</f>
        <v>164</v>
      </c>
      <c r="J200" s="88">
        <f>SUM(J10:J199)</f>
        <v>167</v>
      </c>
      <c r="K200" s="90">
        <f>SUM(K10:K199)</f>
        <v>0</v>
      </c>
      <c r="L200" s="90">
        <f t="shared" ref="L200:Q200" si="8">SUM(L10:L199)</f>
        <v>0</v>
      </c>
      <c r="M200" s="88">
        <f t="shared" si="8"/>
        <v>0</v>
      </c>
      <c r="N200" s="88">
        <f t="shared" si="8"/>
        <v>478</v>
      </c>
      <c r="O200" s="90">
        <f>SUM(O10:O199)</f>
        <v>187211.83000000002</v>
      </c>
      <c r="P200" s="90">
        <f>SUM(P10:P199)</f>
        <v>187211.83000000002</v>
      </c>
      <c r="Q200" s="88">
        <f t="shared" si="8"/>
        <v>0</v>
      </c>
      <c r="R200" s="20"/>
      <c r="AM200" s="4"/>
      <c r="AN200" s="4"/>
      <c r="AO200" s="4"/>
      <c r="AP200" s="4"/>
      <c r="AQ200" s="4"/>
      <c r="AR200" s="4"/>
    </row>
    <row r="201" spans="1:44" s="14" customFormat="1" ht="15" customHeight="1">
      <c r="A201" s="5"/>
      <c r="B201" s="6"/>
      <c r="C201" s="5"/>
      <c r="D201" s="6"/>
      <c r="E201" s="6"/>
      <c r="F201" s="6"/>
      <c r="G201" s="6"/>
      <c r="H201" s="9"/>
      <c r="I201" s="9"/>
      <c r="J201" s="9"/>
      <c r="K201" s="9"/>
      <c r="L201" s="9"/>
      <c r="M201" s="11"/>
      <c r="N201" s="9"/>
      <c r="O201" s="9"/>
      <c r="P201" s="5"/>
      <c r="Q201" s="13"/>
      <c r="R201" s="20"/>
      <c r="AM201" s="4"/>
      <c r="AN201" s="4"/>
      <c r="AO201" s="4"/>
      <c r="AP201" s="4"/>
      <c r="AQ201" s="4"/>
      <c r="AR201" s="4"/>
    </row>
    <row r="202" spans="1:44" s="14" customForma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12"/>
      <c r="N202" s="4"/>
      <c r="O202" s="4"/>
      <c r="P202" s="4"/>
      <c r="Q202" s="12"/>
      <c r="R202" s="20"/>
      <c r="AM202" s="4"/>
      <c r="AN202" s="4"/>
      <c r="AO202" s="4"/>
      <c r="AP202" s="4"/>
      <c r="AQ202" s="4"/>
      <c r="AR202" s="4"/>
    </row>
    <row r="203" spans="1:44" s="14" customForma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15"/>
      <c r="M203" s="19"/>
      <c r="N203" s="4"/>
      <c r="O203" s="4"/>
      <c r="P203" s="4"/>
      <c r="Q203" s="12"/>
      <c r="AM203" s="4"/>
      <c r="AN203" s="4"/>
      <c r="AO203" s="4"/>
      <c r="AP203" s="4"/>
      <c r="AQ203" s="4"/>
      <c r="AR203" s="4"/>
    </row>
    <row r="204" spans="1:44" s="14" customForma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15"/>
      <c r="M204" s="12"/>
      <c r="N204" s="15"/>
      <c r="O204" s="15"/>
      <c r="P204" s="4"/>
      <c r="Q204" s="12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15"/>
      <c r="M205" s="12"/>
      <c r="N205" s="15"/>
      <c r="O205" s="4"/>
      <c r="P205" s="4"/>
      <c r="Q205" s="12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2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15"/>
      <c r="M208" s="12"/>
      <c r="N208" s="4"/>
      <c r="O208" s="4"/>
      <c r="P208" s="4"/>
      <c r="Q208" s="12"/>
      <c r="AM208" s="4"/>
      <c r="AN208" s="4"/>
      <c r="AO208" s="4"/>
      <c r="AP208" s="4"/>
      <c r="AQ208" s="4"/>
      <c r="AR208" s="4"/>
    </row>
    <row r="215" spans="1:44" s="12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15"/>
      <c r="N215" s="4"/>
      <c r="O215" s="4"/>
      <c r="P215" s="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4"/>
      <c r="AN215" s="4"/>
      <c r="AO215" s="4"/>
      <c r="AP215" s="4"/>
      <c r="AQ215" s="4"/>
      <c r="AR215" s="4"/>
    </row>
  </sheetData>
  <mergeCells count="8">
    <mergeCell ref="A200:B20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R215"/>
  <sheetViews>
    <sheetView topLeftCell="A194" zoomScale="120" zoomScaleNormal="120" workbookViewId="0">
      <selection activeCell="H197" sqref="A7:Q200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0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9</v>
      </c>
      <c r="I11" s="1"/>
      <c r="J11" s="26"/>
      <c r="K11" s="27">
        <f t="shared" ref="K11:K83" si="2">L11+M11</f>
        <v>0</v>
      </c>
      <c r="L11" s="27"/>
      <c r="M11" s="27"/>
      <c r="N11" s="1">
        <v>8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6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3500.41</v>
      </c>
      <c r="P12" s="27">
        <v>3500.41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6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6380.54</v>
      </c>
      <c r="P14" s="27">
        <v>6380.54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11</v>
      </c>
      <c r="I15" s="2">
        <v>6</v>
      </c>
      <c r="J15" s="26">
        <v>6</v>
      </c>
      <c r="K15" s="27">
        <f t="shared" si="2"/>
        <v>0</v>
      </c>
      <c r="L15" s="27"/>
      <c r="M15" s="27"/>
      <c r="N15" s="2">
        <v>10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17</v>
      </c>
      <c r="I16" s="1">
        <v>9</v>
      </c>
      <c r="J16" s="26">
        <v>10</v>
      </c>
      <c r="K16" s="27">
        <f t="shared" si="2"/>
        <v>0</v>
      </c>
      <c r="L16" s="27"/>
      <c r="M16" s="27"/>
      <c r="N16" s="1">
        <v>11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17</v>
      </c>
      <c r="I20" s="1">
        <v>4</v>
      </c>
      <c r="J20" s="26">
        <v>4</v>
      </c>
      <c r="K20" s="27">
        <f t="shared" si="2"/>
        <v>0</v>
      </c>
      <c r="L20" s="27"/>
      <c r="M20" s="27"/>
      <c r="N20" s="1">
        <v>12</v>
      </c>
      <c r="O20" s="27">
        <f t="shared" si="1"/>
        <v>2290.6</v>
      </c>
      <c r="P20" s="27"/>
      <c r="Q20" s="27">
        <v>2290.6</v>
      </c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8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5</v>
      </c>
      <c r="I26" s="1">
        <v>3</v>
      </c>
      <c r="J26" s="44">
        <v>3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11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1585.49</v>
      </c>
      <c r="P29" s="27">
        <v>1585.49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5</v>
      </c>
      <c r="J32" s="26">
        <v>5</v>
      </c>
      <c r="K32" s="27">
        <f t="shared" si="2"/>
        <v>0</v>
      </c>
      <c r="L32" s="27"/>
      <c r="M32" s="27"/>
      <c r="N32" s="1">
        <v>5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2</v>
      </c>
      <c r="O33" s="27">
        <f t="shared" si="1"/>
        <v>881</v>
      </c>
      <c r="P33" s="27"/>
      <c r="Q33" s="27">
        <v>881</v>
      </c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3494.69</v>
      </c>
      <c r="P34" s="27">
        <v>3494.69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4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6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9</v>
      </c>
      <c r="I38" s="1">
        <v>2</v>
      </c>
      <c r="J38" s="26">
        <v>2</v>
      </c>
      <c r="K38" s="27">
        <f t="shared" si="2"/>
        <v>0</v>
      </c>
      <c r="L38" s="27"/>
      <c r="M38" s="27"/>
      <c r="N38" s="1">
        <v>7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9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5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3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5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1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1</v>
      </c>
      <c r="I45" s="1"/>
      <c r="J45" s="26"/>
      <c r="K45" s="27">
        <f t="shared" si="2"/>
        <v>0</v>
      </c>
      <c r="L45" s="27"/>
      <c r="M45" s="27"/>
      <c r="N45" s="1">
        <v>2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4</v>
      </c>
      <c r="I48" s="1">
        <v>1</v>
      </c>
      <c r="J48" s="26">
        <v>1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3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8</v>
      </c>
      <c r="I50" s="1">
        <v>6</v>
      </c>
      <c r="J50" s="26">
        <v>6</v>
      </c>
      <c r="K50" s="27">
        <f t="shared" si="2"/>
        <v>0</v>
      </c>
      <c r="L50" s="27"/>
      <c r="M50" s="27"/>
      <c r="N50" s="1">
        <v>4</v>
      </c>
      <c r="O50" s="27">
        <f t="shared" si="1"/>
        <v>6837.93</v>
      </c>
      <c r="P50" s="27">
        <v>6837.93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8</v>
      </c>
      <c r="I53" s="1"/>
      <c r="J53" s="26"/>
      <c r="K53" s="27">
        <f t="shared" si="2"/>
        <v>0</v>
      </c>
      <c r="L53" s="27"/>
      <c r="M53" s="27"/>
      <c r="N53" s="1">
        <v>1</v>
      </c>
      <c r="O53" s="27">
        <f t="shared" si="1"/>
        <v>10258.950000000001</v>
      </c>
      <c r="P53" s="27">
        <v>10258.950000000001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4</v>
      </c>
      <c r="I54" s="2"/>
      <c r="J54" s="26"/>
      <c r="K54" s="27">
        <f t="shared" si="2"/>
        <v>0</v>
      </c>
      <c r="L54" s="27"/>
      <c r="M54" s="27"/>
      <c r="N54" s="2">
        <v>1</v>
      </c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0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 t="s">
        <v>321</v>
      </c>
      <c r="G56" s="23" t="s">
        <v>136</v>
      </c>
      <c r="H56" s="25">
        <v>1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3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8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15</v>
      </c>
      <c r="I60" s="1">
        <v>6</v>
      </c>
      <c r="J60" s="26">
        <v>6</v>
      </c>
      <c r="K60" s="27">
        <f t="shared" si="2"/>
        <v>0</v>
      </c>
      <c r="L60" s="27"/>
      <c r="M60" s="27"/>
      <c r="N60" s="1">
        <v>15</v>
      </c>
      <c r="O60" s="27">
        <f t="shared" si="1"/>
        <v>2817.33</v>
      </c>
      <c r="P60" s="27">
        <v>2817.33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11</v>
      </c>
      <c r="I61" s="1">
        <v>3</v>
      </c>
      <c r="J61" s="26">
        <v>3</v>
      </c>
      <c r="K61" s="27">
        <f t="shared" si="2"/>
        <v>0</v>
      </c>
      <c r="L61" s="27"/>
      <c r="M61" s="27"/>
      <c r="N61" s="1">
        <v>5</v>
      </c>
      <c r="O61" s="27">
        <f t="shared" si="1"/>
        <v>0</v>
      </c>
      <c r="P61" s="27"/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4</v>
      </c>
      <c r="I62" s="1">
        <v>1</v>
      </c>
      <c r="J62" s="26">
        <v>1</v>
      </c>
      <c r="K62" s="27">
        <f t="shared" si="2"/>
        <v>0</v>
      </c>
      <c r="L62" s="27"/>
      <c r="M62" s="27"/>
      <c r="N62" s="1">
        <v>5</v>
      </c>
      <c r="O62" s="27">
        <f t="shared" si="1"/>
        <v>0</v>
      </c>
      <c r="P62" s="27"/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5</v>
      </c>
      <c r="I63" s="1"/>
      <c r="J63" s="26"/>
      <c r="K63" s="27">
        <f t="shared" si="2"/>
        <v>0</v>
      </c>
      <c r="L63" s="27"/>
      <c r="M63" s="27"/>
      <c r="N63" s="1">
        <v>4</v>
      </c>
      <c r="O63" s="27">
        <f t="shared" si="1"/>
        <v>3793.8</v>
      </c>
      <c r="P63" s="27">
        <v>3793.8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5</v>
      </c>
      <c r="I64" s="1"/>
      <c r="J64" s="26"/>
      <c r="K64" s="27">
        <f t="shared" si="2"/>
        <v>0</v>
      </c>
      <c r="L64" s="27"/>
      <c r="M64" s="27"/>
      <c r="N64" s="1">
        <v>4</v>
      </c>
      <c r="O64" s="27">
        <f t="shared" si="1"/>
        <v>881</v>
      </c>
      <c r="P64" s="27">
        <v>881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4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7</v>
      </c>
      <c r="I66" s="1">
        <v>3</v>
      </c>
      <c r="J66" s="26">
        <v>3</v>
      </c>
      <c r="K66" s="27">
        <f t="shared" si="2"/>
        <v>0</v>
      </c>
      <c r="L66" s="27"/>
      <c r="M66" s="27"/>
      <c r="N66" s="1">
        <v>6</v>
      </c>
      <c r="O66" s="27">
        <f t="shared" si="1"/>
        <v>1353.94</v>
      </c>
      <c r="P66" s="27">
        <v>1353.94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6</v>
      </c>
      <c r="I68" s="1">
        <v>1</v>
      </c>
      <c r="J68" s="26">
        <v>1</v>
      </c>
      <c r="K68" s="27">
        <f t="shared" si="2"/>
        <v>0</v>
      </c>
      <c r="L68" s="27"/>
      <c r="M68" s="27"/>
      <c r="N68" s="1">
        <v>3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6</v>
      </c>
      <c r="I70" s="2"/>
      <c r="J70" s="26"/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8</v>
      </c>
      <c r="I71" s="1">
        <v>2</v>
      </c>
      <c r="J71" s="26">
        <v>2</v>
      </c>
      <c r="K71" s="27">
        <f t="shared" si="2"/>
        <v>0</v>
      </c>
      <c r="L71" s="27"/>
      <c r="M71" s="27"/>
      <c r="N71" s="1">
        <v>10</v>
      </c>
      <c r="O71" s="27">
        <f t="shared" si="1"/>
        <v>12247.679999999998</v>
      </c>
      <c r="P71" s="27">
        <f>8536.41+1900.55+1810.72</f>
        <v>12247.679999999998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12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0</v>
      </c>
      <c r="P74" s="27"/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2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0</v>
      </c>
      <c r="P75" s="27"/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2</v>
      </c>
      <c r="I76" s="1"/>
      <c r="J76" s="26"/>
      <c r="K76" s="27">
        <f t="shared" si="2"/>
        <v>0</v>
      </c>
      <c r="L76" s="27"/>
      <c r="M76" s="27"/>
      <c r="N76" s="1">
        <v>4</v>
      </c>
      <c r="O76" s="27">
        <f t="shared" si="1"/>
        <v>0</v>
      </c>
      <c r="P76" s="27"/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7</v>
      </c>
      <c r="I77" s="1">
        <v>3</v>
      </c>
      <c r="J77" s="26">
        <v>3</v>
      </c>
      <c r="K77" s="27">
        <f t="shared" si="2"/>
        <v>0</v>
      </c>
      <c r="L77" s="27"/>
      <c r="M77" s="27"/>
      <c r="N77" s="1">
        <v>13</v>
      </c>
      <c r="O77" s="27">
        <f t="shared" si="1"/>
        <v>0</v>
      </c>
      <c r="P77" s="27"/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4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/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1</v>
      </c>
      <c r="I80" s="1"/>
      <c r="J80" s="26"/>
      <c r="K80" s="27">
        <f t="shared" si="2"/>
        <v>0</v>
      </c>
      <c r="L80" s="27"/>
      <c r="M80" s="27"/>
      <c r="N80" s="1">
        <v>3</v>
      </c>
      <c r="O80" s="27">
        <f t="shared" si="1"/>
        <v>1497.7</v>
      </c>
      <c r="P80" s="27">
        <v>1497.7</v>
      </c>
      <c r="Q80" s="27"/>
      <c r="R80" s="20"/>
    </row>
    <row r="81" spans="1:38" s="17" customFormat="1" ht="15" customHeight="1">
      <c r="A81" s="24">
        <v>39</v>
      </c>
      <c r="B81" s="23" t="s">
        <v>238</v>
      </c>
      <c r="C81" s="24" t="s">
        <v>18</v>
      </c>
      <c r="D81" s="23"/>
      <c r="E81" s="23" t="s">
        <v>41</v>
      </c>
      <c r="F81" s="23" t="s">
        <v>408</v>
      </c>
      <c r="G81" s="23" t="s">
        <v>142</v>
      </c>
      <c r="H81" s="25">
        <v>19</v>
      </c>
      <c r="I81" s="1">
        <v>13</v>
      </c>
      <c r="J81" s="26">
        <v>13</v>
      </c>
      <c r="K81" s="27">
        <f t="shared" si="2"/>
        <v>0</v>
      </c>
      <c r="L81" s="27"/>
      <c r="M81" s="27"/>
      <c r="N81" s="1">
        <v>1</v>
      </c>
      <c r="O81" s="27">
        <f t="shared" si="1"/>
        <v>6215.87</v>
      </c>
      <c r="P81" s="27">
        <v>6215.87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7" customFormat="1" ht="15" customHeight="1">
      <c r="A82" s="24">
        <v>40</v>
      </c>
      <c r="B82" s="23" t="s">
        <v>65</v>
      </c>
      <c r="C82" s="24" t="s">
        <v>18</v>
      </c>
      <c r="D82" s="23"/>
      <c r="E82" s="23" t="s">
        <v>66</v>
      </c>
      <c r="F82" s="23" t="s">
        <v>409</v>
      </c>
      <c r="G82" s="23" t="s">
        <v>142</v>
      </c>
      <c r="H82" s="25">
        <v>9</v>
      </c>
      <c r="I82" s="1"/>
      <c r="J82" s="26"/>
      <c r="K82" s="27">
        <f t="shared" si="2"/>
        <v>0</v>
      </c>
      <c r="L82" s="27"/>
      <c r="M82" s="27"/>
      <c r="N82" s="1">
        <v>9</v>
      </c>
      <c r="O82" s="27">
        <f t="shared" si="1"/>
        <v>0</v>
      </c>
      <c r="P82" s="27"/>
      <c r="Q82" s="27"/>
      <c r="R82" s="20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 spans="1:38" ht="15" customHeight="1">
      <c r="A83" s="24"/>
      <c r="B83" s="23" t="s">
        <v>65</v>
      </c>
      <c r="C83" s="24" t="s">
        <v>18</v>
      </c>
      <c r="D83" s="23"/>
      <c r="E83" s="23" t="s">
        <v>66</v>
      </c>
      <c r="F83" s="23" t="s">
        <v>123</v>
      </c>
      <c r="G83" s="23" t="s">
        <v>136</v>
      </c>
      <c r="H83" s="25">
        <v>0</v>
      </c>
      <c r="I83" s="2"/>
      <c r="J83" s="26"/>
      <c r="K83" s="27">
        <f t="shared" si="2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s="7" customFormat="1" ht="15" customHeight="1">
      <c r="A84" s="24">
        <v>41</v>
      </c>
      <c r="B84" s="23" t="s">
        <v>67</v>
      </c>
      <c r="C84" s="24" t="s">
        <v>18</v>
      </c>
      <c r="D84" s="23"/>
      <c r="E84" s="23" t="s">
        <v>19</v>
      </c>
      <c r="F84" s="23" t="s">
        <v>410</v>
      </c>
      <c r="G84" s="23" t="s">
        <v>142</v>
      </c>
      <c r="H84" s="25">
        <v>14</v>
      </c>
      <c r="I84" s="1">
        <v>12</v>
      </c>
      <c r="J84" s="26">
        <v>12</v>
      </c>
      <c r="K84" s="27">
        <f t="shared" ref="K84:K152" si="3">L84+M84</f>
        <v>0</v>
      </c>
      <c r="L84" s="27"/>
      <c r="M84" s="27"/>
      <c r="N84" s="1">
        <v>9</v>
      </c>
      <c r="O84" s="27">
        <f t="shared" si="1"/>
        <v>1369.13</v>
      </c>
      <c r="P84" s="27">
        <v>1369.13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s="28" customFormat="1" ht="15" customHeight="1">
      <c r="A85" s="24"/>
      <c r="B85" s="23" t="s">
        <v>67</v>
      </c>
      <c r="C85" s="24" t="s">
        <v>18</v>
      </c>
      <c r="D85" s="23"/>
      <c r="E85" s="23" t="s">
        <v>104</v>
      </c>
      <c r="F85" s="23" t="s">
        <v>123</v>
      </c>
      <c r="G85" s="23" t="s">
        <v>122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1"/>
        <v>0</v>
      </c>
      <c r="P85" s="27"/>
      <c r="Q85" s="27"/>
      <c r="R85" s="20"/>
    </row>
    <row r="86" spans="1:38" ht="15" customHeight="1">
      <c r="A86" s="24">
        <v>42</v>
      </c>
      <c r="B86" s="23" t="s">
        <v>68</v>
      </c>
      <c r="C86" s="24" t="s">
        <v>18</v>
      </c>
      <c r="D86" s="24"/>
      <c r="E86" s="23" t="s">
        <v>50</v>
      </c>
      <c r="F86" s="23" t="s">
        <v>411</v>
      </c>
      <c r="G86" s="23" t="s">
        <v>142</v>
      </c>
      <c r="H86" s="25">
        <v>5</v>
      </c>
      <c r="I86" s="1"/>
      <c r="J86" s="26"/>
      <c r="K86" s="27">
        <f t="shared" si="3"/>
        <v>0</v>
      </c>
      <c r="L86" s="27"/>
      <c r="M86" s="27"/>
      <c r="N86" s="1"/>
      <c r="O86" s="27">
        <f t="shared" si="1"/>
        <v>0</v>
      </c>
      <c r="P86" s="27"/>
      <c r="Q86" s="27"/>
      <c r="R86" s="20"/>
    </row>
    <row r="87" spans="1:38" ht="15" customHeight="1">
      <c r="A87" s="24"/>
      <c r="B87" s="23" t="s">
        <v>68</v>
      </c>
      <c r="C87" s="24" t="s">
        <v>18</v>
      </c>
      <c r="D87" s="23"/>
      <c r="E87" s="23" t="s">
        <v>50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1"/>
        <v>0</v>
      </c>
      <c r="P87" s="27"/>
      <c r="Q87" s="27"/>
      <c r="R87" s="20"/>
    </row>
    <row r="88" spans="1:38" ht="15" customHeight="1">
      <c r="A88" s="24"/>
      <c r="B88" s="23" t="s">
        <v>68</v>
      </c>
      <c r="C88" s="24" t="s">
        <v>18</v>
      </c>
      <c r="D88" s="23"/>
      <c r="E88" s="23" t="s">
        <v>50</v>
      </c>
      <c r="F88" s="23" t="s">
        <v>292</v>
      </c>
      <c r="G88" s="23" t="s">
        <v>124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1"/>
        <v>0</v>
      </c>
      <c r="P88" s="27"/>
      <c r="Q88" s="27"/>
      <c r="R88" s="20"/>
    </row>
    <row r="89" spans="1:38" ht="15" customHeight="1">
      <c r="A89" s="24">
        <v>43</v>
      </c>
      <c r="B89" s="23" t="s">
        <v>127</v>
      </c>
      <c r="C89" s="24" t="s">
        <v>18</v>
      </c>
      <c r="D89" s="23"/>
      <c r="E89" s="23" t="s">
        <v>41</v>
      </c>
      <c r="F89" s="23" t="s">
        <v>412</v>
      </c>
      <c r="G89" s="23" t="s">
        <v>142</v>
      </c>
      <c r="H89" s="25">
        <v>7</v>
      </c>
      <c r="I89" s="2">
        <v>1</v>
      </c>
      <c r="J89" s="26">
        <v>1</v>
      </c>
      <c r="K89" s="27">
        <f t="shared" si="3"/>
        <v>0</v>
      </c>
      <c r="L89" s="27"/>
      <c r="M89" s="27"/>
      <c r="N89" s="2">
        <v>2</v>
      </c>
      <c r="O89" s="27">
        <f t="shared" si="1"/>
        <v>3045.34</v>
      </c>
      <c r="P89" s="27">
        <v>3045.34</v>
      </c>
      <c r="Q89" s="27"/>
      <c r="R89" s="20"/>
    </row>
    <row r="90" spans="1:38" ht="15" customHeight="1">
      <c r="A90" s="24"/>
      <c r="B90" s="23" t="s">
        <v>127</v>
      </c>
      <c r="C90" s="24" t="s">
        <v>18</v>
      </c>
      <c r="D90" s="23"/>
      <c r="E90" s="23" t="s">
        <v>50</v>
      </c>
      <c r="F90" s="23" t="s">
        <v>364</v>
      </c>
      <c r="G90" s="23" t="s">
        <v>136</v>
      </c>
      <c r="H90" s="25">
        <v>10</v>
      </c>
      <c r="I90" s="2"/>
      <c r="J90" s="26"/>
      <c r="K90" s="27">
        <f t="shared" si="3"/>
        <v>0</v>
      </c>
      <c r="L90" s="27"/>
      <c r="M90" s="27"/>
      <c r="N90" s="2">
        <v>13</v>
      </c>
      <c r="O90" s="27">
        <f t="shared" si="1"/>
        <v>0</v>
      </c>
      <c r="P90" s="27"/>
      <c r="Q90" s="27"/>
      <c r="R90" s="20"/>
    </row>
    <row r="91" spans="1:38" ht="15" customHeight="1">
      <c r="A91" s="24"/>
      <c r="B91" s="23" t="s">
        <v>127</v>
      </c>
      <c r="C91" s="24" t="s">
        <v>18</v>
      </c>
      <c r="D91" s="23"/>
      <c r="E91" s="23" t="s">
        <v>50</v>
      </c>
      <c r="F91" s="23" t="s">
        <v>375</v>
      </c>
      <c r="G91" s="23" t="s">
        <v>124</v>
      </c>
      <c r="H91" s="25">
        <v>1</v>
      </c>
      <c r="I91" s="2"/>
      <c r="J91" s="26"/>
      <c r="K91" s="27">
        <f t="shared" si="3"/>
        <v>0</v>
      </c>
      <c r="L91" s="27"/>
      <c r="M91" s="27"/>
      <c r="N91" s="2">
        <v>1</v>
      </c>
      <c r="O91" s="27">
        <f t="shared" ref="O91:O188" si="4">P91+Q91</f>
        <v>0</v>
      </c>
      <c r="P91" s="27"/>
      <c r="Q91" s="27"/>
      <c r="R91" s="20"/>
    </row>
    <row r="92" spans="1:38" s="7" customFormat="1" ht="15" customHeight="1">
      <c r="A92" s="74">
        <v>44</v>
      </c>
      <c r="B92" s="77" t="s">
        <v>69</v>
      </c>
      <c r="C92" s="74" t="s">
        <v>18</v>
      </c>
      <c r="D92" s="77"/>
      <c r="E92" s="77" t="s">
        <v>19</v>
      </c>
      <c r="F92" s="77" t="s">
        <v>292</v>
      </c>
      <c r="G92" s="77" t="s">
        <v>142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s="7" customFormat="1" ht="15.75" customHeight="1">
      <c r="A93" s="74">
        <v>45</v>
      </c>
      <c r="B93" s="77" t="s">
        <v>70</v>
      </c>
      <c r="C93" s="74" t="s">
        <v>18</v>
      </c>
      <c r="D93" s="77"/>
      <c r="E93" s="77" t="s">
        <v>19</v>
      </c>
      <c r="F93" s="77" t="s">
        <v>413</v>
      </c>
      <c r="G93" s="77" t="s">
        <v>142</v>
      </c>
      <c r="H93" s="25">
        <v>6</v>
      </c>
      <c r="I93" s="1">
        <v>2</v>
      </c>
      <c r="J93" s="26">
        <v>2</v>
      </c>
      <c r="K93" s="27">
        <f t="shared" si="3"/>
        <v>0</v>
      </c>
      <c r="L93" s="27"/>
      <c r="M93" s="27"/>
      <c r="N93" s="1">
        <v>4</v>
      </c>
      <c r="O93" s="27">
        <f t="shared" si="4"/>
        <v>3806.1</v>
      </c>
      <c r="P93" s="27">
        <v>3806.1</v>
      </c>
      <c r="Q93" s="27"/>
      <c r="R93" s="20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 spans="1:38" ht="15" customHeight="1">
      <c r="A94" s="74">
        <v>46</v>
      </c>
      <c r="B94" s="77" t="s">
        <v>71</v>
      </c>
      <c r="C94" s="74" t="s">
        <v>18</v>
      </c>
      <c r="D94" s="77"/>
      <c r="E94" s="77" t="s">
        <v>32</v>
      </c>
      <c r="F94" s="77" t="s">
        <v>292</v>
      </c>
      <c r="G94" s="77" t="s">
        <v>121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</row>
    <row r="95" spans="1:38" ht="15" customHeight="1">
      <c r="A95" s="24"/>
      <c r="B95" s="23" t="s">
        <v>71</v>
      </c>
      <c r="C95" s="24" t="s">
        <v>18</v>
      </c>
      <c r="D95" s="23"/>
      <c r="E95" s="23" t="s">
        <v>32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</row>
    <row r="96" spans="1:38" ht="15" customHeight="1">
      <c r="A96" s="24">
        <v>47</v>
      </c>
      <c r="B96" s="23" t="s">
        <v>72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72</v>
      </c>
      <c r="C97" s="24" t="s">
        <v>18</v>
      </c>
      <c r="D97" s="23"/>
      <c r="E97" s="23" t="s">
        <v>19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73</v>
      </c>
      <c r="C98" s="24" t="s">
        <v>18</v>
      </c>
      <c r="D98" s="23"/>
      <c r="E98" s="23" t="s">
        <v>19</v>
      </c>
      <c r="F98" s="23"/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s="7" customFormat="1" ht="15" customHeight="1">
      <c r="A99" s="24">
        <v>49</v>
      </c>
      <c r="B99" s="23" t="s">
        <v>74</v>
      </c>
      <c r="C99" s="24" t="s">
        <v>18</v>
      </c>
      <c r="D99" s="23"/>
      <c r="E99" s="23" t="s">
        <v>19</v>
      </c>
      <c r="F99" s="23" t="s">
        <v>414</v>
      </c>
      <c r="G99" s="23" t="s">
        <v>142</v>
      </c>
      <c r="H99" s="25">
        <v>9</v>
      </c>
      <c r="I99" s="1">
        <v>4</v>
      </c>
      <c r="J99" s="26">
        <v>4</v>
      </c>
      <c r="K99" s="27">
        <f t="shared" si="3"/>
        <v>0</v>
      </c>
      <c r="L99" s="27"/>
      <c r="M99" s="27"/>
      <c r="N99" s="1">
        <v>6</v>
      </c>
      <c r="O99" s="27">
        <f t="shared" si="4"/>
        <v>8926.48</v>
      </c>
      <c r="P99" s="27">
        <v>8926.48</v>
      </c>
      <c r="Q99" s="27"/>
      <c r="R99" s="20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 spans="1:38" s="7" customFormat="1" ht="15" customHeight="1">
      <c r="A100" s="24">
        <v>50</v>
      </c>
      <c r="B100" s="23" t="s">
        <v>312</v>
      </c>
      <c r="C100" s="24" t="s">
        <v>18</v>
      </c>
      <c r="D100" s="23"/>
      <c r="E100" s="23" t="s">
        <v>19</v>
      </c>
      <c r="F100" s="23" t="s">
        <v>415</v>
      </c>
      <c r="G100" s="23" t="s">
        <v>142</v>
      </c>
      <c r="H100" s="25">
        <v>6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s="7" customFormat="1" ht="15" customHeight="1">
      <c r="A101" s="24"/>
      <c r="B101" s="23" t="s">
        <v>312</v>
      </c>
      <c r="C101" s="24" t="s">
        <v>18</v>
      </c>
      <c r="D101" s="23"/>
      <c r="E101" s="23" t="s">
        <v>304</v>
      </c>
      <c r="F101" s="23" t="s">
        <v>339</v>
      </c>
      <c r="G101" s="23" t="s">
        <v>131</v>
      </c>
      <c r="H101" s="25">
        <v>9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/>
      <c r="B102" s="23" t="s">
        <v>312</v>
      </c>
      <c r="C102" s="24" t="s">
        <v>18</v>
      </c>
      <c r="D102" s="23"/>
      <c r="E102" s="23" t="s">
        <v>41</v>
      </c>
      <c r="F102" s="23" t="s">
        <v>365</v>
      </c>
      <c r="G102" s="23" t="s">
        <v>136</v>
      </c>
      <c r="H102" s="25">
        <v>9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ht="15" customHeight="1">
      <c r="A103" s="24">
        <v>51</v>
      </c>
      <c r="B103" s="23" t="s">
        <v>75</v>
      </c>
      <c r="C103" s="24" t="s">
        <v>18</v>
      </c>
      <c r="D103" s="23"/>
      <c r="E103" s="23" t="s">
        <v>19</v>
      </c>
      <c r="F103" s="23" t="s">
        <v>416</v>
      </c>
      <c r="G103" s="23" t="s">
        <v>142</v>
      </c>
      <c r="H103" s="25">
        <v>5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14</v>
      </c>
      <c r="O103" s="27">
        <f>P103+Q103</f>
        <v>0</v>
      </c>
      <c r="P103" s="27"/>
      <c r="Q103" s="27"/>
      <c r="R103" s="20"/>
    </row>
    <row r="104" spans="1:38" ht="13.15" customHeight="1">
      <c r="A104" s="24"/>
      <c r="B104" s="23" t="s">
        <v>75</v>
      </c>
      <c r="C104" s="24" t="s">
        <v>18</v>
      </c>
      <c r="D104" s="23"/>
      <c r="E104" s="23" t="s">
        <v>76</v>
      </c>
      <c r="F104" s="23" t="s">
        <v>335</v>
      </c>
      <c r="G104" s="23" t="s">
        <v>131</v>
      </c>
      <c r="H104" s="25">
        <v>2</v>
      </c>
      <c r="I104" s="1"/>
      <c r="J104" s="26"/>
      <c r="K104" s="27">
        <f t="shared" si="3"/>
        <v>0</v>
      </c>
      <c r="L104" s="27"/>
      <c r="M104" s="27"/>
      <c r="N104" s="1">
        <v>5</v>
      </c>
      <c r="O104" s="27">
        <f>P104+Q104</f>
        <v>792.9</v>
      </c>
      <c r="P104" s="27">
        <v>792.9</v>
      </c>
      <c r="Q104" s="27"/>
      <c r="R104" s="20"/>
    </row>
    <row r="105" spans="1:38" ht="15" customHeight="1">
      <c r="A105" s="24"/>
      <c r="B105" s="23" t="s">
        <v>140</v>
      </c>
      <c r="C105" s="24" t="s">
        <v>18</v>
      </c>
      <c r="D105" s="23"/>
      <c r="E105" s="23" t="s">
        <v>76</v>
      </c>
      <c r="F105" s="23" t="s">
        <v>377</v>
      </c>
      <c r="G105" s="23" t="s">
        <v>136</v>
      </c>
      <c r="H105" s="25">
        <v>1</v>
      </c>
      <c r="I105" s="2"/>
      <c r="J105" s="26"/>
      <c r="K105" s="27">
        <f t="shared" si="3"/>
        <v>0</v>
      </c>
      <c r="L105" s="27"/>
      <c r="M105" s="27"/>
      <c r="N105" s="2">
        <v>18</v>
      </c>
      <c r="O105" s="27">
        <f>P105+Q105</f>
        <v>4212.68</v>
      </c>
      <c r="P105" s="27">
        <v>4212.68</v>
      </c>
      <c r="Q105" s="27"/>
      <c r="R105" s="20"/>
    </row>
    <row r="106" spans="1:38" s="17" customFormat="1" ht="15" customHeight="1">
      <c r="A106" s="24">
        <v>52</v>
      </c>
      <c r="B106" s="23" t="s">
        <v>267</v>
      </c>
      <c r="C106" s="24" t="s">
        <v>18</v>
      </c>
      <c r="D106" s="23"/>
      <c r="E106" s="23" t="s">
        <v>19</v>
      </c>
      <c r="F106" s="23" t="s">
        <v>268</v>
      </c>
      <c r="G106" s="23" t="s">
        <v>142</v>
      </c>
      <c r="H106" s="25">
        <v>0</v>
      </c>
      <c r="I106" s="2"/>
      <c r="J106" s="26"/>
      <c r="K106" s="27">
        <f t="shared" si="3"/>
        <v>0</v>
      </c>
      <c r="L106" s="27"/>
      <c r="M106" s="27"/>
      <c r="N106" s="2"/>
      <c r="O106" s="27">
        <f>P106+Q106</f>
        <v>0</v>
      </c>
      <c r="P106" s="27"/>
      <c r="Q106" s="27"/>
      <c r="R106" s="20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38" s="17" customFormat="1" ht="15" customHeight="1">
      <c r="A107" s="24"/>
      <c r="B107" s="23" t="s">
        <v>267</v>
      </c>
      <c r="C107" s="24" t="s">
        <v>18</v>
      </c>
      <c r="D107" s="23"/>
      <c r="E107" s="23" t="s">
        <v>19</v>
      </c>
      <c r="F107" s="23" t="s">
        <v>336</v>
      </c>
      <c r="G107" s="23" t="s">
        <v>131</v>
      </c>
      <c r="H107" s="25">
        <v>5</v>
      </c>
      <c r="I107" s="2"/>
      <c r="J107" s="26"/>
      <c r="K107" s="27">
        <f t="shared" si="3"/>
        <v>0</v>
      </c>
      <c r="L107" s="27"/>
      <c r="M107" s="27"/>
      <c r="N107" s="2">
        <v>2</v>
      </c>
      <c r="O107" s="27">
        <f t="shared" ref="O107:O111" si="5">P107+Q107</f>
        <v>3171.6</v>
      </c>
      <c r="P107" s="27">
        <v>3171.6</v>
      </c>
      <c r="Q107" s="27"/>
      <c r="R107" s="20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:38" ht="15" customHeight="1">
      <c r="A108" s="24"/>
      <c r="B108" s="23" t="s">
        <v>267</v>
      </c>
      <c r="C108" s="24" t="s">
        <v>18</v>
      </c>
      <c r="D108" s="23"/>
      <c r="E108" s="23" t="s">
        <v>19</v>
      </c>
      <c r="F108" s="23" t="s">
        <v>123</v>
      </c>
      <c r="G108" s="23" t="s">
        <v>122</v>
      </c>
      <c r="H108" s="25">
        <v>3</v>
      </c>
      <c r="I108" s="2"/>
      <c r="J108" s="26"/>
      <c r="K108" s="27">
        <f t="shared" si="3"/>
        <v>0</v>
      </c>
      <c r="L108" s="27"/>
      <c r="M108" s="27"/>
      <c r="N108" s="2">
        <v>1</v>
      </c>
      <c r="O108" s="27">
        <f t="shared" si="5"/>
        <v>0</v>
      </c>
      <c r="P108" s="27"/>
      <c r="Q108" s="27"/>
      <c r="R108" s="20"/>
    </row>
    <row r="109" spans="1:38" ht="15" customHeight="1">
      <c r="A109" s="24">
        <v>53</v>
      </c>
      <c r="B109" s="23" t="s">
        <v>306</v>
      </c>
      <c r="C109" s="24" t="s">
        <v>18</v>
      </c>
      <c r="D109" s="23"/>
      <c r="E109" s="23" t="s">
        <v>104</v>
      </c>
      <c r="F109" s="23" t="s">
        <v>417</v>
      </c>
      <c r="G109" s="23" t="s">
        <v>142</v>
      </c>
      <c r="H109" s="25">
        <v>4</v>
      </c>
      <c r="I109" s="2"/>
      <c r="J109" s="26"/>
      <c r="K109" s="27">
        <v>0</v>
      </c>
      <c r="L109" s="27"/>
      <c r="M109" s="27"/>
      <c r="N109" s="2"/>
      <c r="O109" s="27">
        <v>0</v>
      </c>
      <c r="P109" s="27"/>
      <c r="Q109" s="27"/>
      <c r="R109" s="20"/>
    </row>
    <row r="110" spans="1:38" ht="15" customHeight="1">
      <c r="A110" s="24"/>
      <c r="B110" s="23" t="s">
        <v>306</v>
      </c>
      <c r="C110" s="24" t="s">
        <v>30</v>
      </c>
      <c r="D110" s="23" t="s">
        <v>334</v>
      </c>
      <c r="E110" s="23" t="s">
        <v>104</v>
      </c>
      <c r="F110" s="23" t="s">
        <v>340</v>
      </c>
      <c r="G110" s="23" t="s">
        <v>131</v>
      </c>
      <c r="H110" s="25">
        <v>7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20"/>
    </row>
    <row r="111" spans="1:38" ht="15" customHeight="1">
      <c r="A111" s="24"/>
      <c r="B111" s="23" t="s">
        <v>306</v>
      </c>
      <c r="C111" s="24" t="s">
        <v>30</v>
      </c>
      <c r="D111" s="23" t="s">
        <v>307</v>
      </c>
      <c r="E111" s="23" t="s">
        <v>19</v>
      </c>
      <c r="F111" s="23" t="s">
        <v>350</v>
      </c>
      <c r="G111" s="23" t="s">
        <v>122</v>
      </c>
      <c r="H111" s="25">
        <v>5</v>
      </c>
      <c r="I111" s="2"/>
      <c r="J111" s="26"/>
      <c r="K111" s="27">
        <f t="shared" si="3"/>
        <v>0</v>
      </c>
      <c r="L111" s="27"/>
      <c r="M111" s="27"/>
      <c r="N111" s="2">
        <v>1</v>
      </c>
      <c r="O111" s="27">
        <f t="shared" si="5"/>
        <v>0</v>
      </c>
      <c r="P111" s="27"/>
      <c r="Q111" s="27"/>
      <c r="R111" s="20"/>
    </row>
    <row r="112" spans="1:38" ht="30.75" customHeight="1">
      <c r="A112" s="24">
        <v>54</v>
      </c>
      <c r="B112" s="23" t="s">
        <v>78</v>
      </c>
      <c r="C112" s="24" t="s">
        <v>18</v>
      </c>
      <c r="D112" s="23" t="s">
        <v>276</v>
      </c>
      <c r="E112" s="23" t="s">
        <v>19</v>
      </c>
      <c r="F112" s="23" t="s">
        <v>418</v>
      </c>
      <c r="G112" s="23" t="s">
        <v>142</v>
      </c>
      <c r="H112" s="25">
        <v>12</v>
      </c>
      <c r="I112" s="1">
        <v>11</v>
      </c>
      <c r="J112" s="26">
        <v>11</v>
      </c>
      <c r="K112" s="27">
        <f t="shared" si="3"/>
        <v>0</v>
      </c>
      <c r="L112" s="27"/>
      <c r="M112" s="27"/>
      <c r="N112" s="1">
        <v>4</v>
      </c>
      <c r="O112" s="27">
        <f t="shared" si="4"/>
        <v>0</v>
      </c>
      <c r="P112" s="27"/>
      <c r="Q112" s="27"/>
      <c r="R112" s="20"/>
    </row>
    <row r="113" spans="1:38" s="7" customFormat="1" ht="15" customHeight="1">
      <c r="A113" s="24"/>
      <c r="B113" s="23" t="s">
        <v>78</v>
      </c>
      <c r="C113" s="24" t="s">
        <v>18</v>
      </c>
      <c r="D113" s="23"/>
      <c r="E113" s="23" t="s">
        <v>19</v>
      </c>
      <c r="F113" s="23" t="s">
        <v>120</v>
      </c>
      <c r="G113" s="23" t="s">
        <v>131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20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 spans="1:38" ht="15" customHeight="1">
      <c r="A114" s="24"/>
      <c r="B114" s="23" t="s">
        <v>78</v>
      </c>
      <c r="C114" s="24" t="s">
        <v>18</v>
      </c>
      <c r="D114" s="23"/>
      <c r="E114" s="23" t="s">
        <v>19</v>
      </c>
      <c r="F114" s="23" t="s">
        <v>120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</row>
    <row r="115" spans="1:38" ht="15" customHeight="1">
      <c r="A115" s="24">
        <v>55</v>
      </c>
      <c r="B115" s="23" t="s">
        <v>79</v>
      </c>
      <c r="C115" s="24" t="s">
        <v>18</v>
      </c>
      <c r="D115" s="23"/>
      <c r="E115" s="23" t="s">
        <v>19</v>
      </c>
      <c r="F115" s="23"/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</row>
    <row r="116" spans="1:38" ht="15" customHeight="1">
      <c r="A116" s="24">
        <v>56</v>
      </c>
      <c r="B116" s="23" t="s">
        <v>80</v>
      </c>
      <c r="C116" s="24" t="s">
        <v>18</v>
      </c>
      <c r="D116" s="23"/>
      <c r="E116" s="23" t="s">
        <v>19</v>
      </c>
      <c r="F116" s="23" t="s">
        <v>419</v>
      </c>
      <c r="G116" s="23" t="s">
        <v>142</v>
      </c>
      <c r="H116" s="25">
        <v>12</v>
      </c>
      <c r="I116" s="1">
        <v>6</v>
      </c>
      <c r="J116" s="26">
        <v>7</v>
      </c>
      <c r="K116" s="27">
        <f t="shared" si="3"/>
        <v>0</v>
      </c>
      <c r="L116" s="27"/>
      <c r="M116" s="27"/>
      <c r="N116" s="1">
        <v>4</v>
      </c>
      <c r="O116" s="27">
        <f t="shared" si="4"/>
        <v>0</v>
      </c>
      <c r="P116" s="27"/>
      <c r="Q116" s="27"/>
      <c r="R116" s="20"/>
    </row>
    <row r="117" spans="1:38" s="7" customFormat="1" ht="15" customHeight="1">
      <c r="A117" s="24"/>
      <c r="B117" s="23" t="s">
        <v>80</v>
      </c>
      <c r="C117" s="24" t="s">
        <v>18</v>
      </c>
      <c r="D117" s="23"/>
      <c r="E117" s="23" t="s">
        <v>19</v>
      </c>
      <c r="F117" s="23" t="s">
        <v>120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s="7" customFormat="1" ht="15" customHeight="1">
      <c r="A118" s="24">
        <v>57</v>
      </c>
      <c r="B118" s="23" t="s">
        <v>372</v>
      </c>
      <c r="C118" s="24" t="s">
        <v>18</v>
      </c>
      <c r="D118" s="23"/>
      <c r="E118" s="23" t="s">
        <v>19</v>
      </c>
      <c r="F118" s="23" t="s">
        <v>420</v>
      </c>
      <c r="G118" s="23" t="s">
        <v>142</v>
      </c>
      <c r="H118" s="25">
        <v>5</v>
      </c>
      <c r="I118" s="1"/>
      <c r="J118" s="26"/>
      <c r="K118" s="27">
        <v>0</v>
      </c>
      <c r="L118" s="27"/>
      <c r="M118" s="27"/>
      <c r="N118" s="1"/>
      <c r="O118" s="27">
        <v>0</v>
      </c>
      <c r="P118" s="27"/>
      <c r="Q118" s="27"/>
      <c r="R118" s="20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 spans="1:38" s="7" customFormat="1" ht="15" customHeight="1">
      <c r="A119" s="24">
        <v>58</v>
      </c>
      <c r="B119" s="23" t="s">
        <v>313</v>
      </c>
      <c r="C119" s="24" t="s">
        <v>18</v>
      </c>
      <c r="D119" s="23"/>
      <c r="E119" s="23"/>
      <c r="F119" s="23" t="s">
        <v>342</v>
      </c>
      <c r="G119" s="23" t="s">
        <v>131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/>
      <c r="B120" s="23" t="s">
        <v>313</v>
      </c>
      <c r="C120" s="24" t="s">
        <v>18</v>
      </c>
      <c r="D120" s="23"/>
      <c r="E120" s="23" t="s">
        <v>41</v>
      </c>
      <c r="F120" s="23" t="s">
        <v>366</v>
      </c>
      <c r="G120" s="23" t="s">
        <v>136</v>
      </c>
      <c r="H120" s="25">
        <v>7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373</v>
      </c>
      <c r="C121" s="24" t="s">
        <v>52</v>
      </c>
      <c r="D121" s="23" t="s">
        <v>378</v>
      </c>
      <c r="E121" s="23" t="s">
        <v>104</v>
      </c>
      <c r="F121" s="23" t="s">
        <v>422</v>
      </c>
      <c r="G121" s="23" t="s">
        <v>142</v>
      </c>
      <c r="H121" s="25">
        <v>3</v>
      </c>
      <c r="I121" s="1"/>
      <c r="J121" s="26"/>
      <c r="K121" s="27">
        <v>0</v>
      </c>
      <c r="L121" s="27"/>
      <c r="M121" s="27"/>
      <c r="N121" s="1"/>
      <c r="O121" s="27"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ht="15" customHeight="1">
      <c r="A122" s="24">
        <v>60</v>
      </c>
      <c r="B122" s="23" t="s">
        <v>81</v>
      </c>
      <c r="C122" s="24" t="s">
        <v>18</v>
      </c>
      <c r="D122" s="23"/>
      <c r="E122" s="23" t="s">
        <v>19</v>
      </c>
      <c r="F122" s="23" t="s">
        <v>421</v>
      </c>
      <c r="G122" s="23" t="s">
        <v>142</v>
      </c>
      <c r="H122" s="25">
        <v>2</v>
      </c>
      <c r="I122" s="1"/>
      <c r="J122" s="26"/>
      <c r="K122" s="27">
        <f t="shared" si="3"/>
        <v>0</v>
      </c>
      <c r="L122" s="27"/>
      <c r="M122" s="27"/>
      <c r="N122" s="1">
        <v>3</v>
      </c>
      <c r="O122" s="27">
        <f t="shared" si="4"/>
        <v>2479.17</v>
      </c>
      <c r="P122" s="27">
        <v>2479.17</v>
      </c>
      <c r="Q122" s="27"/>
      <c r="R122" s="20"/>
    </row>
    <row r="123" spans="1:38" ht="15" customHeight="1">
      <c r="A123" s="24"/>
      <c r="B123" s="23" t="s">
        <v>81</v>
      </c>
      <c r="C123" s="24" t="s">
        <v>18</v>
      </c>
      <c r="D123" s="23"/>
      <c r="E123" s="23" t="s">
        <v>19</v>
      </c>
      <c r="F123" s="23" t="s">
        <v>453</v>
      </c>
      <c r="G123" s="23" t="s">
        <v>122</v>
      </c>
      <c r="H123" s="25">
        <v>0</v>
      </c>
      <c r="I123" s="1"/>
      <c r="J123" s="26"/>
      <c r="K123" s="27">
        <f t="shared" si="3"/>
        <v>0</v>
      </c>
      <c r="L123" s="27"/>
      <c r="M123" s="27"/>
      <c r="N123" s="1">
        <v>1</v>
      </c>
      <c r="O123" s="27">
        <f t="shared" si="4"/>
        <v>0</v>
      </c>
      <c r="P123" s="27"/>
      <c r="Q123" s="27"/>
      <c r="R123" s="20"/>
    </row>
    <row r="124" spans="1:38" s="7" customFormat="1" ht="15" customHeight="1">
      <c r="A124" s="24">
        <v>61</v>
      </c>
      <c r="B124" s="23" t="s">
        <v>82</v>
      </c>
      <c r="C124" s="24" t="s">
        <v>18</v>
      </c>
      <c r="D124" s="23"/>
      <c r="E124" s="23" t="s">
        <v>19</v>
      </c>
      <c r="F124" s="23" t="s">
        <v>423</v>
      </c>
      <c r="G124" s="23" t="s">
        <v>142</v>
      </c>
      <c r="H124" s="25">
        <v>10</v>
      </c>
      <c r="I124" s="1">
        <v>8</v>
      </c>
      <c r="J124" s="26">
        <v>8</v>
      </c>
      <c r="K124" s="27">
        <f t="shared" si="3"/>
        <v>0</v>
      </c>
      <c r="L124" s="27"/>
      <c r="M124" s="27"/>
      <c r="N124" s="1">
        <v>5</v>
      </c>
      <c r="O124" s="27">
        <f t="shared" si="4"/>
        <v>0</v>
      </c>
      <c r="P124" s="27"/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s="7" customFormat="1" ht="15" customHeight="1">
      <c r="A125" s="24"/>
      <c r="B125" s="23" t="s">
        <v>82</v>
      </c>
      <c r="C125" s="24" t="s">
        <v>18</v>
      </c>
      <c r="D125" s="23"/>
      <c r="E125" s="23" t="s">
        <v>19</v>
      </c>
      <c r="F125" s="23" t="s">
        <v>295</v>
      </c>
      <c r="G125" s="23" t="s">
        <v>122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>
        <v>2</v>
      </c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4.45" customHeight="1">
      <c r="A126" s="24">
        <v>62</v>
      </c>
      <c r="B126" s="23" t="s">
        <v>83</v>
      </c>
      <c r="C126" s="24" t="s">
        <v>30</v>
      </c>
      <c r="D126" s="23" t="s">
        <v>184</v>
      </c>
      <c r="E126" s="23" t="s">
        <v>19</v>
      </c>
      <c r="F126" s="23" t="s">
        <v>424</v>
      </c>
      <c r="G126" s="23" t="s">
        <v>142</v>
      </c>
      <c r="H126" s="25">
        <v>29</v>
      </c>
      <c r="I126" s="1">
        <v>15</v>
      </c>
      <c r="J126" s="26">
        <v>15</v>
      </c>
      <c r="K126" s="27">
        <f t="shared" si="3"/>
        <v>0</v>
      </c>
      <c r="L126" s="27"/>
      <c r="M126" s="27"/>
      <c r="N126" s="1">
        <v>8</v>
      </c>
      <c r="O126" s="27">
        <f t="shared" si="4"/>
        <v>4741.68</v>
      </c>
      <c r="P126" s="27">
        <v>4741.68</v>
      </c>
      <c r="Q126" s="27"/>
      <c r="R126" s="20"/>
    </row>
    <row r="127" spans="1:38" ht="14.45" customHeight="1">
      <c r="A127" s="24">
        <v>63</v>
      </c>
      <c r="B127" s="23" t="s">
        <v>303</v>
      </c>
      <c r="C127" s="24" t="s">
        <v>18</v>
      </c>
      <c r="D127" s="23"/>
      <c r="E127" s="23" t="s">
        <v>304</v>
      </c>
      <c r="F127" s="23" t="s">
        <v>298</v>
      </c>
      <c r="G127" s="23" t="s">
        <v>131</v>
      </c>
      <c r="H127" s="25">
        <v>8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s="7" customFormat="1" ht="15" customHeight="1">
      <c r="A128" s="24">
        <v>64</v>
      </c>
      <c r="B128" s="23" t="s">
        <v>84</v>
      </c>
      <c r="C128" s="24" t="s">
        <v>18</v>
      </c>
      <c r="D128" s="23"/>
      <c r="E128" s="23" t="s">
        <v>19</v>
      </c>
      <c r="F128" s="23" t="s">
        <v>425</v>
      </c>
      <c r="G128" s="23" t="s">
        <v>142</v>
      </c>
      <c r="H128" s="25">
        <v>12</v>
      </c>
      <c r="I128" s="1">
        <v>10</v>
      </c>
      <c r="J128" s="26">
        <v>10</v>
      </c>
      <c r="K128" s="27">
        <f t="shared" si="3"/>
        <v>0</v>
      </c>
      <c r="L128" s="27"/>
      <c r="M128" s="27"/>
      <c r="N128" s="1">
        <v>8</v>
      </c>
      <c r="O128" s="27">
        <f t="shared" si="4"/>
        <v>3710.9</v>
      </c>
      <c r="P128" s="27">
        <f>919.46+2791.44</f>
        <v>3710.9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ht="15" customHeight="1">
      <c r="A129" s="24"/>
      <c r="B129" s="23" t="s">
        <v>84</v>
      </c>
      <c r="C129" s="24" t="s">
        <v>18</v>
      </c>
      <c r="D129" s="23"/>
      <c r="E129" s="23" t="s">
        <v>19</v>
      </c>
      <c r="F129" s="23" t="s">
        <v>123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65</v>
      </c>
      <c r="B130" s="23" t="s">
        <v>85</v>
      </c>
      <c r="C130" s="24" t="s">
        <v>18</v>
      </c>
      <c r="D130" s="23"/>
      <c r="E130" s="23" t="s">
        <v>77</v>
      </c>
      <c r="F130" s="23" t="s">
        <v>426</v>
      </c>
      <c r="G130" s="23" t="s">
        <v>142</v>
      </c>
      <c r="H130" s="25">
        <v>12</v>
      </c>
      <c r="I130" s="1"/>
      <c r="J130" s="26"/>
      <c r="K130" s="27">
        <f t="shared" si="3"/>
        <v>0</v>
      </c>
      <c r="L130" s="27"/>
      <c r="M130" s="27"/>
      <c r="N130" s="1">
        <v>9</v>
      </c>
      <c r="O130" s="27">
        <f t="shared" si="4"/>
        <v>0</v>
      </c>
      <c r="P130" s="27"/>
      <c r="Q130" s="27"/>
      <c r="R130" s="20"/>
    </row>
    <row r="131" spans="1:38" ht="15" customHeight="1">
      <c r="A131" s="24"/>
      <c r="B131" s="23" t="s">
        <v>85</v>
      </c>
      <c r="C131" s="24" t="s">
        <v>18</v>
      </c>
      <c r="D131" s="23"/>
      <c r="E131" s="23" t="s">
        <v>301</v>
      </c>
      <c r="F131" s="23" t="s">
        <v>337</v>
      </c>
      <c r="G131" s="23" t="s">
        <v>131</v>
      </c>
      <c r="H131" s="25">
        <v>22</v>
      </c>
      <c r="I131" s="1"/>
      <c r="J131" s="26"/>
      <c r="K131" s="27">
        <f t="shared" si="3"/>
        <v>0</v>
      </c>
      <c r="L131" s="27"/>
      <c r="M131" s="27"/>
      <c r="N131" s="1">
        <v>5</v>
      </c>
      <c r="O131" s="27">
        <f t="shared" si="4"/>
        <v>462.53</v>
      </c>
      <c r="P131" s="27">
        <v>462.53</v>
      </c>
      <c r="Q131" s="27"/>
      <c r="R131" s="20"/>
    </row>
    <row r="132" spans="1:38" ht="15" customHeight="1">
      <c r="A132" s="24">
        <v>66</v>
      </c>
      <c r="B132" s="23" t="s">
        <v>86</v>
      </c>
      <c r="C132" s="24" t="s">
        <v>18</v>
      </c>
      <c r="D132" s="23"/>
      <c r="E132" s="23" t="s">
        <v>77</v>
      </c>
      <c r="F132" s="23" t="s">
        <v>427</v>
      </c>
      <c r="G132" s="23" t="s">
        <v>142</v>
      </c>
      <c r="H132" s="25">
        <v>8</v>
      </c>
      <c r="I132" s="1"/>
      <c r="J132" s="26"/>
      <c r="K132" s="27">
        <f t="shared" si="3"/>
        <v>0</v>
      </c>
      <c r="L132" s="27"/>
      <c r="M132" s="27"/>
      <c r="N132" s="1">
        <v>3</v>
      </c>
      <c r="O132" s="27">
        <f t="shared" si="4"/>
        <v>3824.23</v>
      </c>
      <c r="P132" s="27">
        <f>1359.87+2464.36</f>
        <v>3824.23</v>
      </c>
      <c r="Q132" s="27"/>
      <c r="R132" s="20"/>
    </row>
    <row r="133" spans="1:38" ht="15" customHeight="1">
      <c r="A133" s="24"/>
      <c r="B133" s="23" t="s">
        <v>86</v>
      </c>
      <c r="C133" s="24" t="s">
        <v>18</v>
      </c>
      <c r="D133" s="23"/>
      <c r="E133" s="23" t="s">
        <v>301</v>
      </c>
      <c r="F133" s="23" t="s">
        <v>338</v>
      </c>
      <c r="G133" s="23" t="s">
        <v>131</v>
      </c>
      <c r="H133" s="25">
        <v>1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28.9" customHeight="1">
      <c r="A134" s="29">
        <v>67</v>
      </c>
      <c r="B134" s="30" t="s">
        <v>87</v>
      </c>
      <c r="C134" s="29" t="s">
        <v>52</v>
      </c>
      <c r="D134" s="30" t="s">
        <v>88</v>
      </c>
      <c r="E134" s="30" t="s">
        <v>19</v>
      </c>
      <c r="F134" s="30" t="s">
        <v>292</v>
      </c>
      <c r="G134" s="30" t="s">
        <v>142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>
        <v>1</v>
      </c>
      <c r="O134" s="27">
        <f t="shared" si="4"/>
        <v>0</v>
      </c>
      <c r="P134" s="27"/>
      <c r="Q134" s="27"/>
      <c r="R134" s="20"/>
    </row>
    <row r="135" spans="1:38" ht="29.25" customHeight="1">
      <c r="A135" s="29"/>
      <c r="B135" s="30" t="s">
        <v>87</v>
      </c>
      <c r="C135" s="29" t="s">
        <v>52</v>
      </c>
      <c r="D135" s="30" t="s">
        <v>88</v>
      </c>
      <c r="E135" s="30" t="s">
        <v>19</v>
      </c>
      <c r="F135" s="30" t="s">
        <v>376</v>
      </c>
      <c r="G135" s="30" t="s">
        <v>122</v>
      </c>
      <c r="H135" s="25">
        <v>6</v>
      </c>
      <c r="I135" s="1"/>
      <c r="J135" s="26"/>
      <c r="K135" s="27">
        <f t="shared" si="3"/>
        <v>0</v>
      </c>
      <c r="L135" s="27"/>
      <c r="M135" s="27"/>
      <c r="N135" s="1">
        <v>1</v>
      </c>
      <c r="O135" s="27">
        <f t="shared" si="4"/>
        <v>440.5</v>
      </c>
      <c r="P135" s="27">
        <v>440.5</v>
      </c>
      <c r="Q135" s="27"/>
      <c r="R135" s="20"/>
    </row>
    <row r="136" spans="1:38" ht="26.25" customHeight="1">
      <c r="A136" s="24">
        <v>68</v>
      </c>
      <c r="B136" s="23" t="s">
        <v>89</v>
      </c>
      <c r="C136" s="24" t="s">
        <v>18</v>
      </c>
      <c r="D136" s="23"/>
      <c r="E136" s="23" t="s">
        <v>19</v>
      </c>
      <c r="F136" s="23" t="s">
        <v>428</v>
      </c>
      <c r="G136" s="23" t="s">
        <v>142</v>
      </c>
      <c r="H136" s="25">
        <v>2</v>
      </c>
      <c r="I136" s="1">
        <v>1</v>
      </c>
      <c r="J136" s="26">
        <v>1</v>
      </c>
      <c r="K136" s="27">
        <f t="shared" si="3"/>
        <v>0</v>
      </c>
      <c r="L136" s="27"/>
      <c r="M136" s="27"/>
      <c r="N136" s="1">
        <v>6</v>
      </c>
      <c r="O136" s="27">
        <f t="shared" si="4"/>
        <v>1217</v>
      </c>
      <c r="P136" s="27">
        <v>1217</v>
      </c>
      <c r="Q136" s="27"/>
      <c r="R136" s="20"/>
    </row>
    <row r="137" spans="1:38" s="7" customFormat="1" ht="15" customHeight="1">
      <c r="A137" s="24"/>
      <c r="B137" s="23" t="s">
        <v>89</v>
      </c>
      <c r="C137" s="24" t="s">
        <v>18</v>
      </c>
      <c r="D137" s="23"/>
      <c r="E137" s="23" t="s">
        <v>19</v>
      </c>
      <c r="F137" s="23" t="s">
        <v>454</v>
      </c>
      <c r="G137" s="23" t="s">
        <v>122</v>
      </c>
      <c r="H137" s="25">
        <v>1</v>
      </c>
      <c r="I137" s="1"/>
      <c r="J137" s="26"/>
      <c r="K137" s="27">
        <f t="shared" si="3"/>
        <v>0</v>
      </c>
      <c r="L137" s="27"/>
      <c r="M137" s="27"/>
      <c r="N137" s="1">
        <v>1</v>
      </c>
      <c r="O137" s="27">
        <f t="shared" si="4"/>
        <v>0</v>
      </c>
      <c r="P137" s="27"/>
      <c r="Q137" s="27"/>
      <c r="R137" s="20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 spans="1:38" ht="15" customHeight="1">
      <c r="A138" s="24">
        <v>69</v>
      </c>
      <c r="B138" s="23" t="s">
        <v>90</v>
      </c>
      <c r="C138" s="24" t="s">
        <v>18</v>
      </c>
      <c r="D138" s="23"/>
      <c r="E138" s="23" t="s">
        <v>19</v>
      </c>
      <c r="F138" s="23" t="s">
        <v>429</v>
      </c>
      <c r="G138" s="23" t="s">
        <v>142</v>
      </c>
      <c r="H138" s="25">
        <v>4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20"/>
    </row>
    <row r="139" spans="1:38" s="7" customFormat="1" ht="15" customHeight="1">
      <c r="A139" s="24">
        <v>70</v>
      </c>
      <c r="B139" s="23" t="s">
        <v>91</v>
      </c>
      <c r="C139" s="24" t="s">
        <v>18</v>
      </c>
      <c r="D139" s="23"/>
      <c r="E139" s="23" t="s">
        <v>92</v>
      </c>
      <c r="F139" s="23" t="s">
        <v>292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11</v>
      </c>
      <c r="O139" s="27">
        <f t="shared" si="4"/>
        <v>0</v>
      </c>
      <c r="P139" s="27"/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s="7" customFormat="1" ht="15" customHeight="1">
      <c r="A140" s="24"/>
      <c r="B140" s="23" t="s">
        <v>91</v>
      </c>
      <c r="C140" s="24" t="s">
        <v>18</v>
      </c>
      <c r="D140" s="23"/>
      <c r="E140" s="23" t="s">
        <v>92</v>
      </c>
      <c r="F140" s="23" t="s">
        <v>123</v>
      </c>
      <c r="G140" s="23" t="s">
        <v>136</v>
      </c>
      <c r="H140" s="25">
        <v>0</v>
      </c>
      <c r="I140" s="2"/>
      <c r="J140" s="26"/>
      <c r="K140" s="27">
        <f t="shared" si="3"/>
        <v>0</v>
      </c>
      <c r="L140" s="27"/>
      <c r="M140" s="27"/>
      <c r="N140" s="2">
        <v>3</v>
      </c>
      <c r="O140" s="27">
        <f t="shared" si="4"/>
        <v>0</v>
      </c>
      <c r="P140" s="27"/>
      <c r="Q140" s="27"/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15" customHeight="1">
      <c r="A141" s="24">
        <v>71</v>
      </c>
      <c r="B141" s="23" t="s">
        <v>93</v>
      </c>
      <c r="C141" s="24" t="s">
        <v>18</v>
      </c>
      <c r="D141" s="23"/>
      <c r="E141" s="23" t="s">
        <v>19</v>
      </c>
      <c r="F141" s="23" t="s">
        <v>123</v>
      </c>
      <c r="G141" s="23" t="s">
        <v>142</v>
      </c>
      <c r="H141" s="25">
        <v>0</v>
      </c>
      <c r="I141" s="2"/>
      <c r="J141" s="26"/>
      <c r="K141" s="27">
        <f t="shared" si="3"/>
        <v>0</v>
      </c>
      <c r="L141" s="27"/>
      <c r="M141" s="27"/>
      <c r="N141" s="2">
        <v>1</v>
      </c>
      <c r="O141" s="27">
        <f t="shared" si="4"/>
        <v>0</v>
      </c>
      <c r="P141" s="27"/>
      <c r="Q141" s="27"/>
      <c r="R141" s="20"/>
    </row>
    <row r="142" spans="1:38" s="17" customFormat="1" ht="15" customHeight="1">
      <c r="A142" s="24"/>
      <c r="B142" s="23" t="s">
        <v>93</v>
      </c>
      <c r="C142" s="24" t="s">
        <v>18</v>
      </c>
      <c r="D142" s="23"/>
      <c r="E142" s="23" t="s">
        <v>19</v>
      </c>
      <c r="F142" s="23" t="s">
        <v>120</v>
      </c>
      <c r="G142" s="23" t="s">
        <v>131</v>
      </c>
      <c r="H142" s="25">
        <v>0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</row>
    <row r="143" spans="1:38" ht="15" customHeight="1">
      <c r="A143" s="24"/>
      <c r="B143" s="23" t="s">
        <v>93</v>
      </c>
      <c r="C143" s="24" t="s">
        <v>18</v>
      </c>
      <c r="D143" s="23"/>
      <c r="E143" s="23"/>
      <c r="F143" s="23" t="s">
        <v>268</v>
      </c>
      <c r="G143" s="23" t="s">
        <v>122</v>
      </c>
      <c r="H143" s="25">
        <v>5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>
        <v>72</v>
      </c>
      <c r="B144" s="23" t="s">
        <v>281</v>
      </c>
      <c r="C144" s="24" t="s">
        <v>18</v>
      </c>
      <c r="D144" s="23"/>
      <c r="E144" s="23" t="s">
        <v>19</v>
      </c>
      <c r="F144" s="23" t="s">
        <v>430</v>
      </c>
      <c r="G144" s="23" t="s">
        <v>142</v>
      </c>
      <c r="H144" s="25">
        <v>6</v>
      </c>
      <c r="I144" s="1">
        <v>4</v>
      </c>
      <c r="J144" s="26">
        <v>4</v>
      </c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281</v>
      </c>
      <c r="C145" s="24" t="s">
        <v>18</v>
      </c>
      <c r="D145" s="23"/>
      <c r="E145" s="23" t="s">
        <v>19</v>
      </c>
      <c r="F145" s="23" t="s">
        <v>285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0</v>
      </c>
      <c r="P145" s="27"/>
      <c r="Q145" s="27"/>
      <c r="R145" s="20"/>
    </row>
    <row r="146" spans="1:38" ht="15" customHeight="1">
      <c r="A146" s="24"/>
      <c r="B146" s="23" t="s">
        <v>281</v>
      </c>
      <c r="C146" s="24" t="s">
        <v>18</v>
      </c>
      <c r="D146" s="23"/>
      <c r="E146" s="23" t="s">
        <v>19</v>
      </c>
      <c r="F146" s="23" t="s">
        <v>349</v>
      </c>
      <c r="G146" s="23" t="s">
        <v>122</v>
      </c>
      <c r="H146" s="25">
        <v>12</v>
      </c>
      <c r="I146" s="1"/>
      <c r="J146" s="26"/>
      <c r="K146" s="27">
        <f t="shared" si="3"/>
        <v>0</v>
      </c>
      <c r="L146" s="27"/>
      <c r="M146" s="27"/>
      <c r="N146" s="1">
        <v>2</v>
      </c>
      <c r="O146" s="27">
        <f t="shared" si="4"/>
        <v>1019.74</v>
      </c>
      <c r="P146" s="27">
        <v>1019.74</v>
      </c>
      <c r="Q146" s="27"/>
      <c r="R146" s="20"/>
    </row>
    <row r="147" spans="1:38" ht="15" customHeight="1">
      <c r="A147" s="24">
        <v>73</v>
      </c>
      <c r="B147" s="23" t="s">
        <v>94</v>
      </c>
      <c r="C147" s="24" t="s">
        <v>18</v>
      </c>
      <c r="D147" s="23"/>
      <c r="E147" s="23" t="s">
        <v>95</v>
      </c>
      <c r="F147" s="23" t="s">
        <v>431</v>
      </c>
      <c r="G147" s="23" t="s">
        <v>142</v>
      </c>
      <c r="H147" s="25">
        <v>14</v>
      </c>
      <c r="I147" s="1">
        <v>4</v>
      </c>
      <c r="J147" s="26">
        <v>6</v>
      </c>
      <c r="K147" s="27">
        <f t="shared" si="3"/>
        <v>0</v>
      </c>
      <c r="L147" s="27"/>
      <c r="M147" s="27"/>
      <c r="N147" s="1">
        <v>6</v>
      </c>
      <c r="O147" s="27">
        <f t="shared" si="4"/>
        <v>0</v>
      </c>
      <c r="P147" s="27"/>
      <c r="Q147" s="27"/>
      <c r="R147" s="20"/>
    </row>
    <row r="148" spans="1:38" s="7" customFormat="1" ht="15" customHeight="1">
      <c r="A148" s="24"/>
      <c r="B148" s="23" t="s">
        <v>128</v>
      </c>
      <c r="C148" s="24" t="s">
        <v>18</v>
      </c>
      <c r="D148" s="23"/>
      <c r="E148" s="23" t="s">
        <v>95</v>
      </c>
      <c r="F148" s="23" t="s">
        <v>319</v>
      </c>
      <c r="G148" s="23" t="s">
        <v>124</v>
      </c>
      <c r="H148" s="25">
        <v>4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3942.68</v>
      </c>
      <c r="P148" s="27">
        <v>2753.33</v>
      </c>
      <c r="Q148" s="27">
        <v>1189.3499999999999</v>
      </c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ht="15" customHeight="1">
      <c r="A149" s="24"/>
      <c r="B149" s="23" t="s">
        <v>128</v>
      </c>
      <c r="C149" s="24" t="s">
        <v>18</v>
      </c>
      <c r="D149" s="23"/>
      <c r="E149" s="23" t="s">
        <v>95</v>
      </c>
      <c r="F149" s="23" t="s">
        <v>123</v>
      </c>
      <c r="G149" s="23" t="s">
        <v>131</v>
      </c>
      <c r="H149" s="25">
        <v>0</v>
      </c>
      <c r="I149" s="2"/>
      <c r="J149" s="26"/>
      <c r="K149" s="27">
        <f t="shared" si="3"/>
        <v>0</v>
      </c>
      <c r="L149" s="27"/>
      <c r="M149" s="27"/>
      <c r="N149" s="2"/>
      <c r="O149" s="27">
        <f t="shared" si="4"/>
        <v>0</v>
      </c>
      <c r="P149" s="27"/>
      <c r="Q149" s="27"/>
      <c r="R149" s="20"/>
    </row>
    <row r="150" spans="1:38" ht="15" customHeight="1">
      <c r="A150" s="24">
        <v>74</v>
      </c>
      <c r="B150" s="23" t="s">
        <v>96</v>
      </c>
      <c r="C150" s="24" t="s">
        <v>18</v>
      </c>
      <c r="D150" s="23"/>
      <c r="E150" s="23" t="s">
        <v>19</v>
      </c>
      <c r="F150" s="23" t="s">
        <v>432</v>
      </c>
      <c r="G150" s="23" t="s">
        <v>142</v>
      </c>
      <c r="H150" s="25">
        <v>4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0</v>
      </c>
      <c r="P150" s="27"/>
      <c r="Q150" s="27"/>
      <c r="R150" s="20"/>
    </row>
    <row r="151" spans="1:38" ht="15" customHeight="1">
      <c r="A151" s="24"/>
      <c r="B151" s="23" t="s">
        <v>96</v>
      </c>
      <c r="C151" s="24" t="s">
        <v>18</v>
      </c>
      <c r="D151" s="23"/>
      <c r="E151" s="23" t="s">
        <v>19</v>
      </c>
      <c r="F151" s="23" t="s">
        <v>292</v>
      </c>
      <c r="G151" s="23" t="s">
        <v>131</v>
      </c>
      <c r="H151" s="25">
        <v>0</v>
      </c>
      <c r="I151" s="1"/>
      <c r="J151" s="26"/>
      <c r="K151" s="27">
        <f t="shared" si="3"/>
        <v>0</v>
      </c>
      <c r="L151" s="27"/>
      <c r="M151" s="27"/>
      <c r="N151" s="1">
        <v>1</v>
      </c>
      <c r="O151" s="27">
        <f t="shared" si="4"/>
        <v>0</v>
      </c>
      <c r="P151" s="27"/>
      <c r="Q151" s="27"/>
      <c r="R151" s="20"/>
    </row>
    <row r="152" spans="1:38" ht="15" customHeight="1">
      <c r="A152" s="24"/>
      <c r="B152" s="23" t="s">
        <v>96</v>
      </c>
      <c r="C152" s="24" t="s">
        <v>18</v>
      </c>
      <c r="D152" s="23"/>
      <c r="E152" s="23" t="s">
        <v>19</v>
      </c>
      <c r="F152" s="23" t="s">
        <v>447</v>
      </c>
      <c r="G152" s="23" t="s">
        <v>122</v>
      </c>
      <c r="H152" s="25">
        <v>5</v>
      </c>
      <c r="I152" s="1"/>
      <c r="J152" s="26"/>
      <c r="K152" s="27">
        <f t="shared" si="3"/>
        <v>0</v>
      </c>
      <c r="L152" s="27"/>
      <c r="M152" s="27"/>
      <c r="N152" s="1">
        <v>1</v>
      </c>
      <c r="O152" s="27">
        <f t="shared" si="4"/>
        <v>0</v>
      </c>
      <c r="P152" s="27"/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2" t="s">
        <v>19</v>
      </c>
      <c r="F153" s="23" t="s">
        <v>367</v>
      </c>
      <c r="G153" s="22" t="s">
        <v>136</v>
      </c>
      <c r="H153" s="45">
        <v>4</v>
      </c>
      <c r="I153" s="1"/>
      <c r="J153" s="26"/>
      <c r="K153" s="27">
        <f t="shared" ref="K153:K199" si="6">L153+M153</f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>
        <v>75</v>
      </c>
      <c r="B154" s="23" t="s">
        <v>97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3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5" customHeight="1">
      <c r="A155" s="24">
        <v>76</v>
      </c>
      <c r="B155" s="23" t="s">
        <v>98</v>
      </c>
      <c r="C155" s="24" t="s">
        <v>18</v>
      </c>
      <c r="D155" s="23"/>
      <c r="E155" s="23" t="s">
        <v>19</v>
      </c>
      <c r="F155" s="23" t="s">
        <v>433</v>
      </c>
      <c r="G155" s="23" t="s">
        <v>142</v>
      </c>
      <c r="H155" s="25">
        <v>8</v>
      </c>
      <c r="I155" s="1">
        <v>6</v>
      </c>
      <c r="J155" s="26">
        <v>7</v>
      </c>
      <c r="K155" s="27">
        <f t="shared" si="6"/>
        <v>0</v>
      </c>
      <c r="L155" s="27"/>
      <c r="M155" s="27"/>
      <c r="N155" s="1">
        <v>6</v>
      </c>
      <c r="O155" s="27">
        <f t="shared" si="4"/>
        <v>2112.7600000000002</v>
      </c>
      <c r="P155" s="27">
        <f>887.45+1225.31</f>
        <v>2112.7600000000002</v>
      </c>
      <c r="Q155" s="27"/>
      <c r="R155" s="20"/>
    </row>
    <row r="156" spans="1:38" ht="15" customHeight="1">
      <c r="A156" s="24">
        <v>77</v>
      </c>
      <c r="B156" s="23" t="s">
        <v>99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0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24.6" customHeight="1">
      <c r="A157" s="29">
        <v>78</v>
      </c>
      <c r="B157" s="30" t="s">
        <v>100</v>
      </c>
      <c r="C157" s="29" t="s">
        <v>30</v>
      </c>
      <c r="D157" s="30" t="s">
        <v>101</v>
      </c>
      <c r="E157" s="30" t="s">
        <v>19</v>
      </c>
      <c r="F157" s="23" t="s">
        <v>434</v>
      </c>
      <c r="G157" s="30" t="s">
        <v>142</v>
      </c>
      <c r="H157" s="25">
        <v>2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s="7" customFormat="1" ht="29.25" customHeight="1">
      <c r="A158" s="29"/>
      <c r="B158" s="30" t="s">
        <v>100</v>
      </c>
      <c r="C158" s="29" t="s">
        <v>30</v>
      </c>
      <c r="D158" s="30" t="s">
        <v>101</v>
      </c>
      <c r="E158" s="30" t="s">
        <v>19</v>
      </c>
      <c r="F158" s="30" t="s">
        <v>292</v>
      </c>
      <c r="G158" s="30" t="s">
        <v>122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 spans="1:38" ht="26.25" customHeight="1">
      <c r="A159" s="46">
        <v>79</v>
      </c>
      <c r="B159" s="60" t="s">
        <v>144</v>
      </c>
      <c r="C159" s="46" t="s">
        <v>18</v>
      </c>
      <c r="D159" s="60"/>
      <c r="E159" s="60" t="s">
        <v>104</v>
      </c>
      <c r="F159" s="60" t="s">
        <v>120</v>
      </c>
      <c r="G159" s="60" t="s">
        <v>142</v>
      </c>
      <c r="H159" s="61">
        <v>0</v>
      </c>
      <c r="I159" s="1"/>
      <c r="J159" s="26"/>
      <c r="K159" s="27">
        <f t="shared" si="6"/>
        <v>0</v>
      </c>
      <c r="L159" s="63"/>
      <c r="M159" s="63"/>
      <c r="N159" s="1"/>
      <c r="O159" s="63">
        <f t="shared" si="4"/>
        <v>0</v>
      </c>
      <c r="P159" s="63"/>
      <c r="Q159" s="63"/>
      <c r="R159" s="20"/>
    </row>
    <row r="160" spans="1:38" ht="15.75" customHeight="1">
      <c r="A160" s="24">
        <v>80</v>
      </c>
      <c r="B160" s="23" t="s">
        <v>102</v>
      </c>
      <c r="C160" s="24" t="s">
        <v>18</v>
      </c>
      <c r="D160" s="23"/>
      <c r="E160" s="23" t="s">
        <v>19</v>
      </c>
      <c r="F160" s="60" t="s">
        <v>120</v>
      </c>
      <c r="G160" s="23" t="s">
        <v>142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5" customHeight="1">
      <c r="A161" s="24">
        <v>81</v>
      </c>
      <c r="B161" s="23" t="s">
        <v>103</v>
      </c>
      <c r="C161" s="24" t="s">
        <v>18</v>
      </c>
      <c r="D161" s="23"/>
      <c r="E161" s="23" t="s">
        <v>19</v>
      </c>
      <c r="F161" s="60" t="s">
        <v>120</v>
      </c>
      <c r="G161" s="23" t="s">
        <v>142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>
        <v>1</v>
      </c>
      <c r="O161" s="27">
        <f t="shared" si="4"/>
        <v>9916.84</v>
      </c>
      <c r="P161" s="27">
        <f>1061.97+8854.87</f>
        <v>9916.84</v>
      </c>
      <c r="Q161" s="27"/>
      <c r="R161" s="20"/>
    </row>
    <row r="162" spans="1:38" ht="15" customHeight="1">
      <c r="A162" s="24"/>
      <c r="B162" s="23" t="s">
        <v>103</v>
      </c>
      <c r="C162" s="24" t="s">
        <v>18</v>
      </c>
      <c r="D162" s="23"/>
      <c r="E162" s="23" t="s">
        <v>19</v>
      </c>
      <c r="F162" s="23" t="s">
        <v>298</v>
      </c>
      <c r="G162" s="23" t="s">
        <v>122</v>
      </c>
      <c r="H162" s="25">
        <v>5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302</v>
      </c>
      <c r="C163" s="24" t="s">
        <v>18</v>
      </c>
      <c r="D163" s="23"/>
      <c r="E163" s="23" t="s">
        <v>19</v>
      </c>
      <c r="F163" s="23" t="s">
        <v>348</v>
      </c>
      <c r="G163" s="23" t="s">
        <v>122</v>
      </c>
      <c r="H163" s="25">
        <v>6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ht="15" customHeight="1">
      <c r="A164" s="24">
        <v>83</v>
      </c>
      <c r="B164" s="23" t="s">
        <v>328</v>
      </c>
      <c r="C164" s="24" t="s">
        <v>18</v>
      </c>
      <c r="D164" s="23"/>
      <c r="E164" s="23" t="s">
        <v>19</v>
      </c>
      <c r="F164" s="23" t="s">
        <v>347</v>
      </c>
      <c r="G164" s="23" t="s">
        <v>122</v>
      </c>
      <c r="H164" s="25">
        <v>5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20"/>
    </row>
    <row r="165" spans="1:38" ht="15" customHeight="1">
      <c r="A165" s="24">
        <v>84</v>
      </c>
      <c r="B165" s="23" t="s">
        <v>314</v>
      </c>
      <c r="C165" s="24" t="s">
        <v>18</v>
      </c>
      <c r="D165" s="23"/>
      <c r="E165" s="23" t="s">
        <v>19</v>
      </c>
      <c r="F165" s="23" t="s">
        <v>435</v>
      </c>
      <c r="G165" s="23" t="s">
        <v>142</v>
      </c>
      <c r="H165" s="25">
        <v>1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20"/>
    </row>
    <row r="166" spans="1:38" ht="15" customHeight="1">
      <c r="A166" s="24"/>
      <c r="B166" s="23" t="s">
        <v>314</v>
      </c>
      <c r="C166" s="24" t="s">
        <v>18</v>
      </c>
      <c r="D166" s="23"/>
      <c r="E166" s="23" t="s">
        <v>19</v>
      </c>
      <c r="F166" s="23" t="s">
        <v>268</v>
      </c>
      <c r="G166" s="23" t="s">
        <v>136</v>
      </c>
      <c r="H166" s="25">
        <v>2</v>
      </c>
      <c r="I166" s="1"/>
      <c r="J166" s="26"/>
      <c r="K166" s="27"/>
      <c r="L166" s="27"/>
      <c r="M166" s="27"/>
      <c r="N166" s="1"/>
      <c r="O166" s="27"/>
      <c r="P166" s="27"/>
      <c r="Q166" s="27"/>
      <c r="R166" s="20"/>
    </row>
    <row r="167" spans="1:38" ht="15" customHeight="1">
      <c r="A167" s="24">
        <v>85</v>
      </c>
      <c r="B167" s="23" t="s">
        <v>330</v>
      </c>
      <c r="C167" s="24" t="s">
        <v>18</v>
      </c>
      <c r="D167" s="23"/>
      <c r="E167" s="23" t="s">
        <v>104</v>
      </c>
      <c r="F167" s="23" t="s">
        <v>341</v>
      </c>
      <c r="G167" s="23" t="s">
        <v>131</v>
      </c>
      <c r="H167" s="25">
        <v>5</v>
      </c>
      <c r="I167" s="1"/>
      <c r="J167" s="26"/>
      <c r="K167" s="27"/>
      <c r="L167" s="27"/>
      <c r="M167" s="27"/>
      <c r="N167" s="1"/>
      <c r="O167" s="27"/>
      <c r="P167" s="27"/>
      <c r="Q167" s="27"/>
      <c r="R167" s="20"/>
    </row>
    <row r="168" spans="1:38" s="28" customFormat="1" ht="15" customHeight="1">
      <c r="A168" s="24"/>
      <c r="B168" s="23" t="s">
        <v>330</v>
      </c>
      <c r="C168" s="24" t="s">
        <v>18</v>
      </c>
      <c r="D168" s="23"/>
      <c r="E168" s="23" t="s">
        <v>19</v>
      </c>
      <c r="F168" s="23" t="s">
        <v>346</v>
      </c>
      <c r="G168" s="23" t="s">
        <v>122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38" ht="24.75" customHeight="1">
      <c r="A169" s="29">
        <v>86</v>
      </c>
      <c r="B169" s="30" t="s">
        <v>105</v>
      </c>
      <c r="C169" s="29" t="s">
        <v>30</v>
      </c>
      <c r="D169" s="30" t="s">
        <v>106</v>
      </c>
      <c r="E169" s="30" t="s">
        <v>19</v>
      </c>
      <c r="F169" s="30" t="s">
        <v>436</v>
      </c>
      <c r="G169" s="30" t="s">
        <v>142</v>
      </c>
      <c r="H169" s="25">
        <v>9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7706.45</v>
      </c>
      <c r="P169" s="27">
        <f>4712.69+2993.76</f>
        <v>7706.45</v>
      </c>
      <c r="Q169" s="27"/>
      <c r="R169" s="20"/>
    </row>
    <row r="170" spans="1:38" ht="24.75" customHeight="1">
      <c r="A170" s="29">
        <v>87</v>
      </c>
      <c r="B170" s="30" t="s">
        <v>315</v>
      </c>
      <c r="C170" s="29" t="s">
        <v>18</v>
      </c>
      <c r="D170" s="30"/>
      <c r="E170" s="30" t="s">
        <v>19</v>
      </c>
      <c r="F170" s="30" t="s">
        <v>437</v>
      </c>
      <c r="G170" s="30" t="s">
        <v>142</v>
      </c>
      <c r="H170" s="25">
        <v>2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s="28" customFormat="1" ht="24.75" customHeight="1">
      <c r="A171" s="29"/>
      <c r="B171" s="30" t="s">
        <v>315</v>
      </c>
      <c r="C171" s="29" t="s">
        <v>18</v>
      </c>
      <c r="D171" s="30"/>
      <c r="E171" s="30" t="s">
        <v>322</v>
      </c>
      <c r="F171" s="30" t="s">
        <v>323</v>
      </c>
      <c r="G171" s="30" t="s">
        <v>124</v>
      </c>
      <c r="H171" s="25">
        <v>1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38" s="7" customFormat="1" ht="38.450000000000003" customHeight="1">
      <c r="A172" s="29">
        <v>88</v>
      </c>
      <c r="B172" s="30" t="s">
        <v>265</v>
      </c>
      <c r="C172" s="29" t="s">
        <v>18</v>
      </c>
      <c r="D172" s="30"/>
      <c r="E172" s="30" t="s">
        <v>19</v>
      </c>
      <c r="F172" s="30" t="s">
        <v>123</v>
      </c>
      <c r="G172" s="30" t="s">
        <v>142</v>
      </c>
      <c r="H172" s="25">
        <v>0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20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s="7" customFormat="1" ht="38.450000000000003" customHeight="1">
      <c r="A173" s="24">
        <v>89</v>
      </c>
      <c r="B173" s="23" t="s">
        <v>107</v>
      </c>
      <c r="C173" s="24" t="s">
        <v>18</v>
      </c>
      <c r="D173" s="23"/>
      <c r="E173" s="23" t="s">
        <v>41</v>
      </c>
      <c r="F173" s="30" t="s">
        <v>438</v>
      </c>
      <c r="G173" s="23" t="s">
        <v>142</v>
      </c>
      <c r="H173" s="25">
        <v>2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1221.57</v>
      </c>
      <c r="P173" s="27">
        <v>1221.57</v>
      </c>
      <c r="Q173" s="27"/>
      <c r="R173" s="20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 spans="1:38" ht="15.75" customHeight="1">
      <c r="A174" s="24"/>
      <c r="B174" s="23" t="s">
        <v>107</v>
      </c>
      <c r="C174" s="24" t="s">
        <v>18</v>
      </c>
      <c r="D174" s="23"/>
      <c r="E174" s="23" t="s">
        <v>41</v>
      </c>
      <c r="F174" s="23" t="s">
        <v>295</v>
      </c>
      <c r="G174" s="23" t="s">
        <v>136</v>
      </c>
      <c r="H174" s="25">
        <v>9</v>
      </c>
      <c r="I174" s="2">
        <v>2</v>
      </c>
      <c r="J174" s="26">
        <v>2</v>
      </c>
      <c r="K174" s="27">
        <f t="shared" si="6"/>
        <v>0</v>
      </c>
      <c r="L174" s="27"/>
      <c r="M174" s="27"/>
      <c r="N174" s="2">
        <v>14</v>
      </c>
      <c r="O174" s="27">
        <f t="shared" si="4"/>
        <v>0</v>
      </c>
      <c r="P174" s="27"/>
      <c r="Q174" s="27"/>
      <c r="R174" s="20"/>
    </row>
    <row r="175" spans="1:38" ht="16.5" customHeight="1">
      <c r="A175" s="24">
        <v>90</v>
      </c>
      <c r="B175" s="23" t="s">
        <v>108</v>
      </c>
      <c r="C175" s="24" t="s">
        <v>18</v>
      </c>
      <c r="D175" s="23"/>
      <c r="E175" s="23" t="s">
        <v>19</v>
      </c>
      <c r="F175" s="23" t="s">
        <v>439</v>
      </c>
      <c r="G175" s="23" t="s">
        <v>142</v>
      </c>
      <c r="H175" s="25">
        <v>16</v>
      </c>
      <c r="I175" s="1">
        <v>14</v>
      </c>
      <c r="J175" s="26">
        <v>14</v>
      </c>
      <c r="K175" s="27">
        <f t="shared" si="6"/>
        <v>0</v>
      </c>
      <c r="L175" s="27"/>
      <c r="M175" s="27"/>
      <c r="N175" s="1">
        <v>4</v>
      </c>
      <c r="O175" s="27">
        <f t="shared" si="4"/>
        <v>5327.91</v>
      </c>
      <c r="P175" s="27">
        <v>5327.91</v>
      </c>
      <c r="Q175" s="27"/>
      <c r="R175" s="20"/>
    </row>
    <row r="176" spans="1:38" s="7" customFormat="1" ht="16.5" customHeight="1">
      <c r="A176" s="24"/>
      <c r="B176" s="23" t="s">
        <v>108</v>
      </c>
      <c r="C176" s="24" t="s">
        <v>18</v>
      </c>
      <c r="D176" s="23"/>
      <c r="E176" s="23" t="s">
        <v>19</v>
      </c>
      <c r="F176" s="23" t="s">
        <v>345</v>
      </c>
      <c r="G176" s="23" t="s">
        <v>122</v>
      </c>
      <c r="H176" s="25">
        <v>3</v>
      </c>
      <c r="I176" s="1"/>
      <c r="J176" s="26"/>
      <c r="K176" s="27">
        <f t="shared" si="6"/>
        <v>0</v>
      </c>
      <c r="L176" s="27"/>
      <c r="M176" s="27"/>
      <c r="N176" s="1">
        <v>3</v>
      </c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16.5" customHeight="1">
      <c r="A177" s="24">
        <v>91</v>
      </c>
      <c r="B177" s="23" t="s">
        <v>146</v>
      </c>
      <c r="C177" s="24" t="s">
        <v>18</v>
      </c>
      <c r="D177" s="23"/>
      <c r="E177" s="23" t="s">
        <v>104</v>
      </c>
      <c r="F177" s="23" t="s">
        <v>291</v>
      </c>
      <c r="G177" s="23" t="s">
        <v>142</v>
      </c>
      <c r="H177" s="25">
        <v>0</v>
      </c>
      <c r="I177" s="1"/>
      <c r="J177" s="26"/>
      <c r="K177" s="27">
        <f t="shared" si="6"/>
        <v>0</v>
      </c>
      <c r="L177" s="27"/>
      <c r="M177" s="27"/>
      <c r="N177" s="1">
        <v>2</v>
      </c>
      <c r="O177" s="27">
        <f t="shared" si="4"/>
        <v>2891.29</v>
      </c>
      <c r="P177" s="27">
        <v>2891.29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23.45" customHeight="1">
      <c r="A178" s="29">
        <v>92</v>
      </c>
      <c r="B178" s="30" t="s">
        <v>109</v>
      </c>
      <c r="C178" s="29" t="s">
        <v>52</v>
      </c>
      <c r="D178" s="30" t="s">
        <v>110</v>
      </c>
      <c r="E178" s="30" t="s">
        <v>19</v>
      </c>
      <c r="F178" s="30" t="s">
        <v>440</v>
      </c>
      <c r="G178" s="30" t="s">
        <v>142</v>
      </c>
      <c r="H178" s="25">
        <v>21</v>
      </c>
      <c r="I178" s="1">
        <v>15</v>
      </c>
      <c r="J178" s="26">
        <v>15</v>
      </c>
      <c r="K178" s="27">
        <f t="shared" si="6"/>
        <v>0</v>
      </c>
      <c r="L178" s="27"/>
      <c r="M178" s="27"/>
      <c r="N178" s="1">
        <v>13</v>
      </c>
      <c r="O178" s="27">
        <f t="shared" si="4"/>
        <v>9265</v>
      </c>
      <c r="P178" s="27">
        <f>8759.8+505.2</f>
        <v>9265</v>
      </c>
      <c r="Q178" s="27"/>
      <c r="R178" s="20"/>
    </row>
    <row r="179" spans="1:38" s="7" customFormat="1" ht="27" customHeight="1">
      <c r="A179" s="29"/>
      <c r="B179" s="30" t="s">
        <v>109</v>
      </c>
      <c r="C179" s="29" t="s">
        <v>52</v>
      </c>
      <c r="D179" s="30" t="s">
        <v>110</v>
      </c>
      <c r="E179" s="30" t="s">
        <v>19</v>
      </c>
      <c r="F179" s="30" t="s">
        <v>344</v>
      </c>
      <c r="G179" s="30" t="s">
        <v>122</v>
      </c>
      <c r="H179" s="25">
        <v>12</v>
      </c>
      <c r="I179" s="1"/>
      <c r="J179" s="26"/>
      <c r="K179" s="27">
        <f t="shared" si="6"/>
        <v>0</v>
      </c>
      <c r="L179" s="27"/>
      <c r="M179" s="27"/>
      <c r="N179" s="1">
        <v>12</v>
      </c>
      <c r="O179" s="27">
        <f t="shared" si="4"/>
        <v>1762</v>
      </c>
      <c r="P179" s="27">
        <v>1762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27.75" customHeight="1">
      <c r="A180" s="24">
        <v>93</v>
      </c>
      <c r="B180" s="23" t="s">
        <v>111</v>
      </c>
      <c r="C180" s="24" t="s">
        <v>18</v>
      </c>
      <c r="D180" s="23"/>
      <c r="E180" s="23" t="s">
        <v>112</v>
      </c>
      <c r="F180" s="23" t="s">
        <v>441</v>
      </c>
      <c r="G180" s="23" t="s">
        <v>142</v>
      </c>
      <c r="H180" s="25">
        <v>5</v>
      </c>
      <c r="I180" s="1"/>
      <c r="J180" s="26"/>
      <c r="K180" s="27">
        <f t="shared" si="6"/>
        <v>0</v>
      </c>
      <c r="L180" s="27"/>
      <c r="M180" s="27"/>
      <c r="N180" s="1"/>
      <c r="O180" s="27">
        <f t="shared" si="4"/>
        <v>8928</v>
      </c>
      <c r="P180" s="27">
        <v>8928</v>
      </c>
      <c r="Q180" s="27"/>
      <c r="R180" s="20"/>
    </row>
    <row r="181" spans="1:38" ht="16.5" customHeight="1">
      <c r="A181" s="24"/>
      <c r="B181" s="23" t="s">
        <v>111</v>
      </c>
      <c r="C181" s="24" t="s">
        <v>18</v>
      </c>
      <c r="D181" s="23"/>
      <c r="E181" s="23" t="s">
        <v>112</v>
      </c>
      <c r="F181" s="23" t="s">
        <v>123</v>
      </c>
      <c r="G181" s="23" t="s">
        <v>136</v>
      </c>
      <c r="H181" s="25">
        <v>5</v>
      </c>
      <c r="I181" s="2"/>
      <c r="J181" s="26"/>
      <c r="K181" s="27">
        <f t="shared" si="6"/>
        <v>0</v>
      </c>
      <c r="L181" s="27"/>
      <c r="M181" s="27"/>
      <c r="N181" s="2">
        <v>2</v>
      </c>
      <c r="O181" s="27">
        <f t="shared" si="4"/>
        <v>0</v>
      </c>
      <c r="P181" s="27"/>
      <c r="Q181" s="27"/>
      <c r="R181" s="20"/>
    </row>
    <row r="182" spans="1:38" ht="16.5" customHeight="1">
      <c r="A182" s="24">
        <v>94</v>
      </c>
      <c r="B182" s="23" t="s">
        <v>113</v>
      </c>
      <c r="C182" s="24" t="s">
        <v>18</v>
      </c>
      <c r="D182" s="23"/>
      <c r="E182" s="23" t="s">
        <v>19</v>
      </c>
      <c r="F182" s="23" t="s">
        <v>120</v>
      </c>
      <c r="G182" s="23" t="s">
        <v>142</v>
      </c>
      <c r="H182" s="25">
        <v>0</v>
      </c>
      <c r="I182" s="1"/>
      <c r="J182" s="26"/>
      <c r="K182" s="27">
        <f t="shared" si="6"/>
        <v>0</v>
      </c>
      <c r="L182" s="27"/>
      <c r="M182" s="27"/>
      <c r="N182" s="1">
        <v>1</v>
      </c>
      <c r="O182" s="27">
        <f t="shared" si="4"/>
        <v>0</v>
      </c>
      <c r="P182" s="27"/>
      <c r="Q182" s="27"/>
      <c r="R182" s="20"/>
    </row>
    <row r="183" spans="1:38" ht="18.75" customHeight="1">
      <c r="A183" s="24"/>
      <c r="B183" s="23" t="s">
        <v>113</v>
      </c>
      <c r="C183" s="24" t="s">
        <v>18</v>
      </c>
      <c r="D183" s="23"/>
      <c r="E183" s="23" t="s">
        <v>19</v>
      </c>
      <c r="F183" s="23" t="s">
        <v>292</v>
      </c>
      <c r="G183" s="23" t="s">
        <v>122</v>
      </c>
      <c r="H183" s="25">
        <v>10</v>
      </c>
      <c r="I183" s="1"/>
      <c r="J183" s="26"/>
      <c r="K183" s="27">
        <f t="shared" si="6"/>
        <v>0</v>
      </c>
      <c r="L183" s="27"/>
      <c r="M183" s="27"/>
      <c r="N183" s="1">
        <v>10</v>
      </c>
      <c r="O183" s="27">
        <f t="shared" si="4"/>
        <v>0</v>
      </c>
      <c r="P183" s="27"/>
      <c r="Q183" s="27"/>
      <c r="R183" s="20"/>
    </row>
    <row r="184" spans="1:38" ht="20.25" customHeight="1">
      <c r="A184" s="24">
        <v>95</v>
      </c>
      <c r="B184" s="23" t="s">
        <v>114</v>
      </c>
      <c r="C184" s="24" t="s">
        <v>18</v>
      </c>
      <c r="D184" s="23"/>
      <c r="E184" s="23" t="s">
        <v>41</v>
      </c>
      <c r="F184" s="23" t="s">
        <v>443</v>
      </c>
      <c r="G184" s="23" t="s">
        <v>142</v>
      </c>
      <c r="H184" s="25">
        <v>3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7826.67</v>
      </c>
      <c r="P184" s="27">
        <v>7826.67</v>
      </c>
      <c r="Q184" s="27"/>
      <c r="R184" s="20"/>
    </row>
    <row r="185" spans="1:38" ht="16.899999999999999" customHeight="1">
      <c r="A185" s="24"/>
      <c r="B185" s="23" t="s">
        <v>141</v>
      </c>
      <c r="C185" s="24" t="s">
        <v>18</v>
      </c>
      <c r="D185" s="23"/>
      <c r="E185" s="23" t="s">
        <v>41</v>
      </c>
      <c r="F185" s="23" t="s">
        <v>368</v>
      </c>
      <c r="G185" s="23" t="s">
        <v>136</v>
      </c>
      <c r="H185" s="25">
        <v>5</v>
      </c>
      <c r="I185" s="2"/>
      <c r="J185" s="26"/>
      <c r="K185" s="27">
        <f t="shared" si="6"/>
        <v>0</v>
      </c>
      <c r="L185" s="27"/>
      <c r="M185" s="27"/>
      <c r="N185" s="2">
        <v>4</v>
      </c>
      <c r="O185" s="27">
        <f t="shared" si="4"/>
        <v>0</v>
      </c>
      <c r="P185" s="27"/>
      <c r="Q185" s="27"/>
      <c r="R185" s="20"/>
    </row>
    <row r="186" spans="1:38" ht="16.899999999999999" customHeight="1">
      <c r="A186" s="24">
        <v>96</v>
      </c>
      <c r="B186" s="23" t="s">
        <v>309</v>
      </c>
      <c r="C186" s="24" t="s">
        <v>18</v>
      </c>
      <c r="D186" s="23"/>
      <c r="E186" s="23" t="s">
        <v>19</v>
      </c>
      <c r="F186" s="23" t="s">
        <v>442</v>
      </c>
      <c r="G186" s="23" t="s">
        <v>142</v>
      </c>
      <c r="H186" s="25">
        <v>4</v>
      </c>
      <c r="I186" s="2">
        <v>4</v>
      </c>
      <c r="J186" s="26">
        <v>4</v>
      </c>
      <c r="K186" s="27"/>
      <c r="L186" s="27"/>
      <c r="M186" s="27"/>
      <c r="N186" s="2"/>
      <c r="O186" s="27"/>
      <c r="P186" s="27"/>
      <c r="Q186" s="27"/>
      <c r="R186" s="20"/>
    </row>
    <row r="187" spans="1:38" ht="16.899999999999999" customHeight="1">
      <c r="A187" s="24"/>
      <c r="B187" s="23" t="s">
        <v>309</v>
      </c>
      <c r="C187" s="24" t="s">
        <v>18</v>
      </c>
      <c r="D187" s="23"/>
      <c r="E187" s="23" t="s">
        <v>19</v>
      </c>
      <c r="F187" s="23" t="s">
        <v>343</v>
      </c>
      <c r="G187" s="23" t="s">
        <v>122</v>
      </c>
      <c r="H187" s="25">
        <v>5</v>
      </c>
      <c r="I187" s="2"/>
      <c r="J187" s="26"/>
      <c r="K187" s="27">
        <f t="shared" si="6"/>
        <v>0</v>
      </c>
      <c r="L187" s="27"/>
      <c r="M187" s="27"/>
      <c r="N187" s="2">
        <v>1</v>
      </c>
      <c r="O187" s="27">
        <f t="shared" si="4"/>
        <v>0</v>
      </c>
      <c r="P187" s="27"/>
      <c r="Q187" s="27"/>
      <c r="R187" s="20"/>
    </row>
    <row r="188" spans="1:38" ht="16.899999999999999" customHeight="1">
      <c r="A188" s="24"/>
      <c r="B188" s="23" t="s">
        <v>309</v>
      </c>
      <c r="C188" s="24" t="s">
        <v>18</v>
      </c>
      <c r="D188" s="23"/>
      <c r="E188" s="23" t="s">
        <v>19</v>
      </c>
      <c r="F188" s="23" t="s">
        <v>324</v>
      </c>
      <c r="G188" s="23" t="s">
        <v>124</v>
      </c>
      <c r="H188" s="25">
        <v>0</v>
      </c>
      <c r="I188" s="2"/>
      <c r="J188" s="26"/>
      <c r="K188" s="27">
        <f t="shared" si="6"/>
        <v>0</v>
      </c>
      <c r="L188" s="27"/>
      <c r="M188" s="27"/>
      <c r="N188" s="2"/>
      <c r="O188" s="27">
        <f t="shared" si="4"/>
        <v>0</v>
      </c>
      <c r="P188" s="27"/>
      <c r="Q188" s="27"/>
      <c r="R188" s="20"/>
    </row>
    <row r="189" spans="1:38" ht="24.6" customHeight="1">
      <c r="A189" s="29">
        <v>97</v>
      </c>
      <c r="B189" s="30" t="s">
        <v>115</v>
      </c>
      <c r="C189" s="29" t="s">
        <v>52</v>
      </c>
      <c r="D189" s="30" t="s">
        <v>110</v>
      </c>
      <c r="E189" s="30" t="s">
        <v>19</v>
      </c>
      <c r="F189" s="30"/>
      <c r="G189" s="30" t="s">
        <v>142</v>
      </c>
      <c r="H189" s="25">
        <v>0</v>
      </c>
      <c r="I189" s="1"/>
      <c r="J189" s="26"/>
      <c r="K189" s="27">
        <f t="shared" si="6"/>
        <v>0</v>
      </c>
      <c r="L189" s="27"/>
      <c r="M189" s="27"/>
      <c r="N189" s="1">
        <v>1</v>
      </c>
      <c r="O189" s="27">
        <f t="shared" ref="O189:O193" si="7">P189+Q189</f>
        <v>0</v>
      </c>
      <c r="P189" s="27"/>
      <c r="Q189" s="27"/>
      <c r="R189" s="20"/>
    </row>
    <row r="190" spans="1:38" ht="32.25" customHeight="1">
      <c r="A190" s="29"/>
      <c r="B190" s="30" t="s">
        <v>115</v>
      </c>
      <c r="C190" s="29" t="s">
        <v>52</v>
      </c>
      <c r="D190" s="30" t="s">
        <v>110</v>
      </c>
      <c r="E190" s="30" t="s">
        <v>19</v>
      </c>
      <c r="F190" s="30" t="s">
        <v>292</v>
      </c>
      <c r="G190" s="30" t="s">
        <v>122</v>
      </c>
      <c r="H190" s="25">
        <v>0</v>
      </c>
      <c r="I190" s="1"/>
      <c r="J190" s="44"/>
      <c r="K190" s="27">
        <f t="shared" si="6"/>
        <v>0</v>
      </c>
      <c r="L190" s="27"/>
      <c r="M190" s="27"/>
      <c r="N190" s="1">
        <v>1</v>
      </c>
      <c r="O190" s="27">
        <f t="shared" si="7"/>
        <v>0</v>
      </c>
      <c r="P190" s="27"/>
      <c r="Q190" s="27"/>
      <c r="R190" s="20"/>
    </row>
    <row r="191" spans="1:38" ht="34.9" customHeight="1">
      <c r="A191" s="29">
        <v>98</v>
      </c>
      <c r="B191" s="30" t="s">
        <v>116</v>
      </c>
      <c r="C191" s="29" t="s">
        <v>52</v>
      </c>
      <c r="D191" s="30" t="s">
        <v>117</v>
      </c>
      <c r="E191" s="30" t="s">
        <v>19</v>
      </c>
      <c r="F191" s="30" t="s">
        <v>444</v>
      </c>
      <c r="G191" s="30" t="s">
        <v>142</v>
      </c>
      <c r="H191" s="25">
        <v>16</v>
      </c>
      <c r="I191" s="1">
        <v>7</v>
      </c>
      <c r="J191" s="44">
        <v>7</v>
      </c>
      <c r="K191" s="27">
        <f t="shared" si="6"/>
        <v>0</v>
      </c>
      <c r="L191" s="27"/>
      <c r="M191" s="27"/>
      <c r="N191" s="1">
        <v>3</v>
      </c>
      <c r="O191" s="27">
        <f t="shared" si="7"/>
        <v>0</v>
      </c>
      <c r="P191" s="27"/>
      <c r="Q191" s="27"/>
      <c r="R191" s="20"/>
    </row>
    <row r="192" spans="1:38" ht="28.5" customHeight="1">
      <c r="A192" s="29">
        <v>99</v>
      </c>
      <c r="B192" s="30" t="s">
        <v>209</v>
      </c>
      <c r="C192" s="29" t="s">
        <v>18</v>
      </c>
      <c r="D192" s="30"/>
      <c r="E192" s="30" t="s">
        <v>19</v>
      </c>
      <c r="F192" s="30" t="s">
        <v>123</v>
      </c>
      <c r="G192" s="30" t="s">
        <v>142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/>
      <c r="O192" s="27">
        <f t="shared" si="7"/>
        <v>0</v>
      </c>
      <c r="P192" s="27"/>
      <c r="Q192" s="27"/>
      <c r="R192" s="20"/>
    </row>
    <row r="193" spans="1:44" ht="19.5" customHeight="1">
      <c r="A193" s="29">
        <v>100</v>
      </c>
      <c r="B193" s="30" t="s">
        <v>118</v>
      </c>
      <c r="C193" s="29" t="s">
        <v>18</v>
      </c>
      <c r="D193" s="30"/>
      <c r="E193" s="30" t="s">
        <v>41</v>
      </c>
      <c r="F193" s="30" t="s">
        <v>445</v>
      </c>
      <c r="G193" s="30" t="s">
        <v>142</v>
      </c>
      <c r="H193" s="25">
        <v>11</v>
      </c>
      <c r="I193" s="1">
        <v>4</v>
      </c>
      <c r="J193" s="44">
        <v>4</v>
      </c>
      <c r="K193" s="27">
        <f t="shared" si="6"/>
        <v>0</v>
      </c>
      <c r="L193" s="27"/>
      <c r="M193" s="27"/>
      <c r="N193" s="1">
        <v>20</v>
      </c>
      <c r="O193" s="27">
        <f t="shared" si="7"/>
        <v>0</v>
      </c>
      <c r="P193" s="27"/>
      <c r="Q193" s="27"/>
      <c r="R193" s="20"/>
    </row>
    <row r="194" spans="1:44" s="7" customFormat="1" ht="30.6" customHeight="1">
      <c r="A194" s="24"/>
      <c r="B194" s="23" t="s">
        <v>118</v>
      </c>
      <c r="C194" s="24" t="s">
        <v>18</v>
      </c>
      <c r="D194" s="23"/>
      <c r="E194" s="23" t="s">
        <v>41</v>
      </c>
      <c r="F194" s="23" t="s">
        <v>298</v>
      </c>
      <c r="G194" s="23" t="s">
        <v>124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/>
      <c r="O194" s="27">
        <f>P194+Q194</f>
        <v>0</v>
      </c>
      <c r="P194" s="27"/>
      <c r="Q194" s="27"/>
      <c r="R194" s="20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 spans="1:44" s="14" customFormat="1" ht="27" customHeight="1">
      <c r="A195" s="24"/>
      <c r="B195" s="23" t="s">
        <v>118</v>
      </c>
      <c r="C195" s="24" t="s">
        <v>18</v>
      </c>
      <c r="D195" s="23"/>
      <c r="E195" s="23" t="s">
        <v>41</v>
      </c>
      <c r="F195" s="23" t="s">
        <v>123</v>
      </c>
      <c r="G195" s="23" t="s">
        <v>136</v>
      </c>
      <c r="H195" s="25">
        <v>0</v>
      </c>
      <c r="I195" s="2"/>
      <c r="J195" s="26"/>
      <c r="K195" s="27">
        <f t="shared" si="6"/>
        <v>0</v>
      </c>
      <c r="L195" s="27"/>
      <c r="M195" s="27"/>
      <c r="N195" s="2"/>
      <c r="O195" s="27">
        <f>P195+Q195</f>
        <v>0</v>
      </c>
      <c r="P195" s="27"/>
      <c r="Q195" s="27"/>
      <c r="R195" s="20"/>
      <c r="AM195" s="4"/>
      <c r="AN195" s="4"/>
      <c r="AO195" s="4"/>
      <c r="AP195" s="4"/>
      <c r="AQ195" s="4"/>
      <c r="AR195" s="4"/>
    </row>
    <row r="196" spans="1:44" s="14" customFormat="1" ht="27" customHeight="1">
      <c r="A196" s="46">
        <v>101</v>
      </c>
      <c r="B196" s="60" t="s">
        <v>119</v>
      </c>
      <c r="C196" s="46" t="s">
        <v>18</v>
      </c>
      <c r="D196" s="60"/>
      <c r="E196" s="60" t="s">
        <v>19</v>
      </c>
      <c r="F196" s="60" t="s">
        <v>120</v>
      </c>
      <c r="G196" s="60" t="s">
        <v>122</v>
      </c>
      <c r="H196" s="61">
        <v>0</v>
      </c>
      <c r="I196" s="32"/>
      <c r="J196" s="62"/>
      <c r="K196" s="27">
        <f t="shared" si="6"/>
        <v>0</v>
      </c>
      <c r="L196" s="63"/>
      <c r="M196" s="63"/>
      <c r="N196" s="32"/>
      <c r="O196" s="63">
        <v>0</v>
      </c>
      <c r="P196" s="63"/>
      <c r="Q196" s="63"/>
      <c r="R196" s="20"/>
      <c r="AM196" s="4"/>
      <c r="AN196" s="4"/>
      <c r="AO196" s="4"/>
      <c r="AP196" s="4"/>
      <c r="AQ196" s="4"/>
      <c r="AR196" s="4"/>
    </row>
    <row r="197" spans="1:44" s="14" customFormat="1" ht="27" customHeight="1">
      <c r="A197" s="46">
        <v>102</v>
      </c>
      <c r="B197" s="60" t="s">
        <v>325</v>
      </c>
      <c r="C197" s="46" t="s">
        <v>18</v>
      </c>
      <c r="D197" s="60"/>
      <c r="E197" s="60" t="s">
        <v>36</v>
      </c>
      <c r="F197" s="60" t="s">
        <v>446</v>
      </c>
      <c r="G197" s="60" t="s">
        <v>142</v>
      </c>
      <c r="H197" s="61">
        <v>4</v>
      </c>
      <c r="I197" s="32"/>
      <c r="J197" s="62"/>
      <c r="K197" s="27"/>
      <c r="L197" s="63"/>
      <c r="M197" s="63"/>
      <c r="N197" s="32"/>
      <c r="O197" s="63"/>
      <c r="P197" s="63"/>
      <c r="Q197" s="63"/>
      <c r="R197" s="20"/>
      <c r="AM197" s="4"/>
      <c r="AN197" s="4"/>
      <c r="AO197" s="4"/>
      <c r="AP197" s="4"/>
      <c r="AQ197" s="4"/>
      <c r="AR197" s="4"/>
    </row>
    <row r="198" spans="1:44" s="14" customFormat="1" ht="27" customHeight="1">
      <c r="A198" s="46"/>
      <c r="B198" s="23" t="s">
        <v>325</v>
      </c>
      <c r="C198" s="24" t="s">
        <v>18</v>
      </c>
      <c r="D198" s="23"/>
      <c r="E198" s="23" t="s">
        <v>36</v>
      </c>
      <c r="F198" s="23" t="s">
        <v>369</v>
      </c>
      <c r="G198" s="23" t="s">
        <v>124</v>
      </c>
      <c r="H198" s="25">
        <v>0</v>
      </c>
      <c r="I198" s="2"/>
      <c r="J198" s="26"/>
      <c r="K198" s="27">
        <f t="shared" si="6"/>
        <v>0</v>
      </c>
      <c r="L198" s="27"/>
      <c r="M198" s="27"/>
      <c r="N198" s="2"/>
      <c r="O198" s="27">
        <v>0</v>
      </c>
      <c r="P198" s="27"/>
      <c r="Q198" s="27"/>
      <c r="R198" s="20"/>
      <c r="AM198" s="4"/>
      <c r="AN198" s="4"/>
      <c r="AO198" s="4"/>
      <c r="AP198" s="4"/>
      <c r="AQ198" s="4"/>
      <c r="AR198" s="4"/>
    </row>
    <row r="199" spans="1:44" s="14" customFormat="1" ht="18.75" customHeight="1" thickBot="1">
      <c r="A199" s="47"/>
      <c r="B199" s="48" t="s">
        <v>325</v>
      </c>
      <c r="C199" s="49" t="s">
        <v>18</v>
      </c>
      <c r="D199" s="48"/>
      <c r="E199" s="48" t="s">
        <v>370</v>
      </c>
      <c r="F199" s="48" t="s">
        <v>371</v>
      </c>
      <c r="G199" s="48" t="s">
        <v>136</v>
      </c>
      <c r="H199" s="50">
        <v>0</v>
      </c>
      <c r="I199" s="33"/>
      <c r="J199" s="51"/>
      <c r="K199" s="34">
        <f t="shared" si="6"/>
        <v>0</v>
      </c>
      <c r="L199" s="52"/>
      <c r="M199" s="52"/>
      <c r="N199" s="33"/>
      <c r="O199" s="52">
        <f>P199+Q199</f>
        <v>0</v>
      </c>
      <c r="P199" s="52"/>
      <c r="Q199" s="52"/>
      <c r="R199" s="20"/>
      <c r="AM199" s="4"/>
      <c r="AN199" s="4"/>
      <c r="AO199" s="4"/>
      <c r="AP199" s="4"/>
      <c r="AQ199" s="4"/>
      <c r="AR199" s="4"/>
    </row>
    <row r="200" spans="1:44" s="14" customFormat="1" ht="16.5" customHeight="1">
      <c r="A200" s="87" t="s">
        <v>145</v>
      </c>
      <c r="B200" s="87"/>
      <c r="C200" s="88"/>
      <c r="D200" s="89"/>
      <c r="E200" s="89"/>
      <c r="F200" s="89"/>
      <c r="G200" s="89"/>
      <c r="H200" s="88">
        <f>SUM(H10:H199)</f>
        <v>843</v>
      </c>
      <c r="I200" s="88">
        <f>SUM(I10:I199)</f>
        <v>221</v>
      </c>
      <c r="J200" s="88">
        <f>SUM(J10:J199)</f>
        <v>226</v>
      </c>
      <c r="K200" s="90">
        <f>SUM(K10:K199)</f>
        <v>0</v>
      </c>
      <c r="L200" s="90">
        <f t="shared" ref="L200:Q200" si="8">SUM(L10:L199)</f>
        <v>0</v>
      </c>
      <c r="M200" s="88">
        <f t="shared" si="8"/>
        <v>0</v>
      </c>
      <c r="N200" s="88">
        <f t="shared" si="8"/>
        <v>523</v>
      </c>
      <c r="O200" s="90">
        <f>SUM(O10:O199)</f>
        <v>193503.01</v>
      </c>
      <c r="P200" s="90">
        <f>SUM(P10:P199)</f>
        <v>189142.06000000003</v>
      </c>
      <c r="Q200" s="88">
        <f t="shared" si="8"/>
        <v>4360.95</v>
      </c>
      <c r="R200" s="20"/>
      <c r="AM200" s="4"/>
      <c r="AN200" s="4"/>
      <c r="AO200" s="4"/>
      <c r="AP200" s="4"/>
      <c r="AQ200" s="4"/>
      <c r="AR200" s="4"/>
    </row>
    <row r="201" spans="1:44" s="14" customFormat="1" ht="15" customHeight="1">
      <c r="A201" s="5"/>
      <c r="B201" s="6"/>
      <c r="C201" s="5"/>
      <c r="D201" s="6"/>
      <c r="E201" s="6"/>
      <c r="F201" s="6"/>
      <c r="G201" s="6"/>
      <c r="H201" s="9"/>
      <c r="I201" s="9"/>
      <c r="J201" s="9"/>
      <c r="K201" s="9"/>
      <c r="L201" s="9"/>
      <c r="M201" s="11"/>
      <c r="N201" s="9"/>
      <c r="O201" s="9"/>
      <c r="P201" s="5"/>
      <c r="Q201" s="13"/>
      <c r="R201" s="20"/>
      <c r="AM201" s="4"/>
      <c r="AN201" s="4"/>
      <c r="AO201" s="4"/>
      <c r="AP201" s="4"/>
      <c r="AQ201" s="4"/>
      <c r="AR201" s="4"/>
    </row>
    <row r="202" spans="1:44" s="14" customForma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12"/>
      <c r="N202" s="4"/>
      <c r="O202" s="4"/>
      <c r="P202" s="4"/>
      <c r="Q202" s="12"/>
      <c r="R202" s="20"/>
      <c r="AM202" s="4"/>
      <c r="AN202" s="4"/>
      <c r="AO202" s="4"/>
      <c r="AP202" s="4"/>
      <c r="AQ202" s="4"/>
      <c r="AR202" s="4"/>
    </row>
    <row r="203" spans="1:44" s="14" customForma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15"/>
      <c r="M203" s="19"/>
      <c r="N203" s="4"/>
      <c r="O203" s="4"/>
      <c r="P203" s="4"/>
      <c r="Q203" s="12"/>
      <c r="AM203" s="4"/>
      <c r="AN203" s="4"/>
      <c r="AO203" s="4"/>
      <c r="AP203" s="4"/>
      <c r="AQ203" s="4"/>
      <c r="AR203" s="4"/>
    </row>
    <row r="204" spans="1:44" s="14" customForma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15"/>
      <c r="M204" s="12"/>
      <c r="N204" s="15"/>
      <c r="O204" s="15"/>
      <c r="P204" s="4"/>
      <c r="Q204" s="12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15"/>
      <c r="M205" s="12"/>
      <c r="N205" s="15"/>
      <c r="O205" s="4"/>
      <c r="P205" s="4"/>
      <c r="Q205" s="12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2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15"/>
      <c r="M208" s="12"/>
      <c r="N208" s="4"/>
      <c r="O208" s="4"/>
      <c r="P208" s="4"/>
      <c r="Q208" s="12"/>
      <c r="AM208" s="4"/>
      <c r="AN208" s="4"/>
      <c r="AO208" s="4"/>
      <c r="AP208" s="4"/>
      <c r="AQ208" s="4"/>
      <c r="AR208" s="4"/>
    </row>
    <row r="215" spans="1:44" s="12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15"/>
      <c r="N215" s="4"/>
      <c r="O215" s="4"/>
      <c r="P215" s="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4"/>
      <c r="AN215" s="4"/>
      <c r="AO215" s="4"/>
      <c r="AP215" s="4"/>
      <c r="AQ215" s="4"/>
      <c r="AR215" s="4"/>
    </row>
  </sheetData>
  <mergeCells count="8">
    <mergeCell ref="A200:B20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R215"/>
  <sheetViews>
    <sheetView topLeftCell="A182" zoomScale="78" zoomScaleNormal="78" workbookViewId="0">
      <selection activeCell="J210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0" si="1">P10+Q10</f>
        <v>0</v>
      </c>
      <c r="P10" s="76"/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9</v>
      </c>
      <c r="I11" s="1"/>
      <c r="J11" s="26"/>
      <c r="K11" s="27">
        <f t="shared" ref="K11:K83" si="2">L11+M11</f>
        <v>0</v>
      </c>
      <c r="L11" s="27"/>
      <c r="M11" s="27"/>
      <c r="N11" s="1">
        <v>10</v>
      </c>
      <c r="O11" s="27">
        <f t="shared" si="1"/>
        <v>0</v>
      </c>
      <c r="P11" s="27"/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3500.41</v>
      </c>
      <c r="P12" s="27">
        <v>3500.41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6380.54</v>
      </c>
      <c r="P14" s="27">
        <v>6380.54</v>
      </c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12</v>
      </c>
      <c r="I15" s="2">
        <v>6</v>
      </c>
      <c r="J15" s="26">
        <v>6</v>
      </c>
      <c r="K15" s="27">
        <f t="shared" si="2"/>
        <v>0</v>
      </c>
      <c r="L15" s="27"/>
      <c r="M15" s="27"/>
      <c r="N15" s="2">
        <v>10</v>
      </c>
      <c r="O15" s="27">
        <f t="shared" si="1"/>
        <v>757.8</v>
      </c>
      <c r="P15" s="27">
        <v>757.8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15</v>
      </c>
      <c r="I16" s="1">
        <v>9</v>
      </c>
      <c r="J16" s="26">
        <v>10</v>
      </c>
      <c r="K16" s="27">
        <f t="shared" si="2"/>
        <v>0</v>
      </c>
      <c r="L16" s="27"/>
      <c r="M16" s="27"/>
      <c r="N16" s="1">
        <v>11</v>
      </c>
      <c r="O16" s="27">
        <f t="shared" si="1"/>
        <v>0</v>
      </c>
      <c r="P16" s="27"/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17</v>
      </c>
      <c r="I20" s="1">
        <v>9</v>
      </c>
      <c r="J20" s="26">
        <v>9</v>
      </c>
      <c r="K20" s="27">
        <f t="shared" si="2"/>
        <v>0</v>
      </c>
      <c r="L20" s="27"/>
      <c r="M20" s="27"/>
      <c r="N20" s="1">
        <v>13</v>
      </c>
      <c r="O20" s="27">
        <f t="shared" si="1"/>
        <v>2290.6</v>
      </c>
      <c r="P20" s="27"/>
      <c r="Q20" s="27">
        <v>2290.6</v>
      </c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8</v>
      </c>
      <c r="O22" s="27">
        <f t="shared" si="1"/>
        <v>0</v>
      </c>
      <c r="P22" s="27"/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5</v>
      </c>
      <c r="I26" s="1">
        <v>3</v>
      </c>
      <c r="J26" s="44">
        <v>3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0</v>
      </c>
      <c r="P27" s="27"/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12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1585.49</v>
      </c>
      <c r="P29" s="27">
        <v>1585.49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7</v>
      </c>
      <c r="J32" s="26">
        <v>8</v>
      </c>
      <c r="K32" s="27">
        <f t="shared" si="2"/>
        <v>0</v>
      </c>
      <c r="L32" s="27"/>
      <c r="M32" s="27"/>
      <c r="N32" s="1">
        <v>7</v>
      </c>
      <c r="O32" s="27">
        <f t="shared" si="1"/>
        <v>0</v>
      </c>
      <c r="P32" s="27"/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2</v>
      </c>
      <c r="O33" s="27">
        <f t="shared" si="1"/>
        <v>881</v>
      </c>
      <c r="P33" s="27"/>
      <c r="Q33" s="27">
        <v>881</v>
      </c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3494.69</v>
      </c>
      <c r="P34" s="27">
        <v>3494.69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4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2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7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9</v>
      </c>
      <c r="I38" s="1">
        <v>2</v>
      </c>
      <c r="J38" s="26">
        <v>2</v>
      </c>
      <c r="K38" s="27">
        <f t="shared" si="2"/>
        <v>0</v>
      </c>
      <c r="L38" s="27"/>
      <c r="M38" s="27"/>
      <c r="N38" s="1">
        <v>7</v>
      </c>
      <c r="O38" s="27">
        <f t="shared" si="1"/>
        <v>0</v>
      </c>
      <c r="P38" s="27"/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9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5</v>
      </c>
      <c r="O39" s="27">
        <f t="shared" si="1"/>
        <v>0</v>
      </c>
      <c r="P39" s="27"/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5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5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1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0</v>
      </c>
      <c r="P44" s="27"/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1</v>
      </c>
      <c r="I45" s="1"/>
      <c r="J45" s="26"/>
      <c r="K45" s="27">
        <f t="shared" si="2"/>
        <v>0</v>
      </c>
      <c r="L45" s="27"/>
      <c r="M45" s="27"/>
      <c r="N45" s="1">
        <v>2</v>
      </c>
      <c r="O45" s="27">
        <f t="shared" si="1"/>
        <v>0</v>
      </c>
      <c r="P45" s="27"/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5</v>
      </c>
      <c r="I48" s="1">
        <v>1</v>
      </c>
      <c r="J48" s="26">
        <v>1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3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9</v>
      </c>
      <c r="I50" s="1">
        <v>6</v>
      </c>
      <c r="J50" s="26">
        <v>6</v>
      </c>
      <c r="K50" s="27">
        <f t="shared" si="2"/>
        <v>0</v>
      </c>
      <c r="L50" s="27"/>
      <c r="M50" s="27"/>
      <c r="N50" s="1">
        <v>4</v>
      </c>
      <c r="O50" s="27">
        <f t="shared" si="1"/>
        <v>6837.93</v>
      </c>
      <c r="P50" s="27">
        <v>6837.93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8</v>
      </c>
      <c r="I53" s="1"/>
      <c r="J53" s="26"/>
      <c r="K53" s="27">
        <f t="shared" si="2"/>
        <v>0</v>
      </c>
      <c r="L53" s="27"/>
      <c r="M53" s="27"/>
      <c r="N53" s="1">
        <v>1</v>
      </c>
      <c r="O53" s="27">
        <f t="shared" si="1"/>
        <v>10258.950000000001</v>
      </c>
      <c r="P53" s="27">
        <v>10258.950000000001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4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0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 t="s">
        <v>321</v>
      </c>
      <c r="G56" s="23" t="s">
        <v>136</v>
      </c>
      <c r="H56" s="25">
        <v>4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5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8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15</v>
      </c>
      <c r="I60" s="1">
        <v>6</v>
      </c>
      <c r="J60" s="26">
        <v>6</v>
      </c>
      <c r="K60" s="27">
        <f t="shared" si="2"/>
        <v>0</v>
      </c>
      <c r="L60" s="27"/>
      <c r="M60" s="27"/>
      <c r="N60" s="1">
        <v>15</v>
      </c>
      <c r="O60" s="27">
        <f t="shared" si="1"/>
        <v>2817.33</v>
      </c>
      <c r="P60" s="27">
        <v>2817.33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13</v>
      </c>
      <c r="I61" s="1">
        <v>5</v>
      </c>
      <c r="J61" s="26">
        <v>5</v>
      </c>
      <c r="K61" s="27">
        <f t="shared" si="2"/>
        <v>0</v>
      </c>
      <c r="L61" s="27"/>
      <c r="M61" s="27"/>
      <c r="N61" s="1">
        <v>10</v>
      </c>
      <c r="O61" s="27">
        <f t="shared" si="1"/>
        <v>0</v>
      </c>
      <c r="P61" s="27"/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4</v>
      </c>
      <c r="I62" s="1">
        <v>1</v>
      </c>
      <c r="J62" s="26">
        <v>1</v>
      </c>
      <c r="K62" s="27">
        <f t="shared" si="2"/>
        <v>0</v>
      </c>
      <c r="L62" s="27"/>
      <c r="M62" s="27"/>
      <c r="N62" s="1">
        <v>5</v>
      </c>
      <c r="O62" s="27">
        <f t="shared" si="1"/>
        <v>0</v>
      </c>
      <c r="P62" s="27"/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5</v>
      </c>
      <c r="I63" s="1"/>
      <c r="J63" s="26"/>
      <c r="K63" s="27">
        <f t="shared" si="2"/>
        <v>0</v>
      </c>
      <c r="L63" s="27"/>
      <c r="M63" s="27"/>
      <c r="N63" s="1">
        <v>4</v>
      </c>
      <c r="O63" s="27">
        <f t="shared" si="1"/>
        <v>3793.8</v>
      </c>
      <c r="P63" s="27">
        <v>3793.8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5</v>
      </c>
      <c r="I64" s="1"/>
      <c r="J64" s="26"/>
      <c r="K64" s="27">
        <f t="shared" si="2"/>
        <v>0</v>
      </c>
      <c r="L64" s="27"/>
      <c r="M64" s="27"/>
      <c r="N64" s="1">
        <v>5</v>
      </c>
      <c r="O64" s="27">
        <f t="shared" si="1"/>
        <v>881</v>
      </c>
      <c r="P64" s="27">
        <v>881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5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0</v>
      </c>
      <c r="P65" s="27"/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8</v>
      </c>
      <c r="I66" s="1">
        <v>3</v>
      </c>
      <c r="J66" s="26">
        <v>3</v>
      </c>
      <c r="K66" s="27">
        <f t="shared" si="2"/>
        <v>0</v>
      </c>
      <c r="L66" s="27"/>
      <c r="M66" s="27"/>
      <c r="N66" s="1">
        <v>6</v>
      </c>
      <c r="O66" s="27">
        <f t="shared" si="1"/>
        <v>1353.94</v>
      </c>
      <c r="P66" s="27">
        <v>1353.94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6</v>
      </c>
      <c r="I68" s="1">
        <v>1</v>
      </c>
      <c r="J68" s="26">
        <v>1</v>
      </c>
      <c r="K68" s="27">
        <f t="shared" si="2"/>
        <v>0</v>
      </c>
      <c r="L68" s="27"/>
      <c r="M68" s="27"/>
      <c r="N68" s="1">
        <v>3</v>
      </c>
      <c r="O68" s="27">
        <f t="shared" si="1"/>
        <v>0</v>
      </c>
      <c r="P68" s="27"/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6</v>
      </c>
      <c r="I70" s="2"/>
      <c r="J70" s="26"/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8</v>
      </c>
      <c r="I71" s="1">
        <v>2</v>
      </c>
      <c r="J71" s="26">
        <v>2</v>
      </c>
      <c r="K71" s="27">
        <f t="shared" si="2"/>
        <v>0</v>
      </c>
      <c r="L71" s="27"/>
      <c r="M71" s="27"/>
      <c r="N71" s="1">
        <v>10</v>
      </c>
      <c r="O71" s="27">
        <f t="shared" si="1"/>
        <v>12247.679999999998</v>
      </c>
      <c r="P71" s="27">
        <f>8536.41+1900.55+1810.72</f>
        <v>12247.679999999998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13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0</v>
      </c>
      <c r="P74" s="27"/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2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0</v>
      </c>
      <c r="P75" s="27"/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4</v>
      </c>
      <c r="O76" s="27">
        <f t="shared" si="1"/>
        <v>0</v>
      </c>
      <c r="P76" s="27"/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7</v>
      </c>
      <c r="I77" s="1">
        <v>3</v>
      </c>
      <c r="J77" s="26">
        <v>3</v>
      </c>
      <c r="K77" s="27">
        <f t="shared" si="2"/>
        <v>0</v>
      </c>
      <c r="L77" s="27"/>
      <c r="M77" s="27"/>
      <c r="N77" s="1">
        <v>13</v>
      </c>
      <c r="O77" s="27">
        <f t="shared" si="1"/>
        <v>0</v>
      </c>
      <c r="P77" s="27"/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4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/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1</v>
      </c>
      <c r="I80" s="1"/>
      <c r="J80" s="26"/>
      <c r="K80" s="27">
        <f t="shared" si="2"/>
        <v>0</v>
      </c>
      <c r="L80" s="27"/>
      <c r="M80" s="27"/>
      <c r="N80" s="1">
        <v>5</v>
      </c>
      <c r="O80" s="27">
        <f t="shared" si="1"/>
        <v>1497.7</v>
      </c>
      <c r="P80" s="27">
        <v>1497.7</v>
      </c>
      <c r="Q80" s="27"/>
      <c r="R80" s="31"/>
    </row>
    <row r="81" spans="1:18" ht="15" customHeight="1">
      <c r="A81" s="24">
        <v>39</v>
      </c>
      <c r="B81" s="23" t="s">
        <v>238</v>
      </c>
      <c r="C81" s="24" t="s">
        <v>18</v>
      </c>
      <c r="D81" s="23"/>
      <c r="E81" s="23" t="s">
        <v>41</v>
      </c>
      <c r="F81" s="23" t="s">
        <v>408</v>
      </c>
      <c r="G81" s="23" t="s">
        <v>142</v>
      </c>
      <c r="H81" s="25">
        <v>21</v>
      </c>
      <c r="I81" s="1">
        <v>13</v>
      </c>
      <c r="J81" s="26">
        <v>13</v>
      </c>
      <c r="K81" s="27">
        <f t="shared" si="2"/>
        <v>0</v>
      </c>
      <c r="L81" s="27"/>
      <c r="M81" s="27"/>
      <c r="N81" s="1">
        <v>1</v>
      </c>
      <c r="O81" s="27">
        <f t="shared" si="1"/>
        <v>6215.87</v>
      </c>
      <c r="P81" s="27">
        <v>6215.87</v>
      </c>
      <c r="Q81" s="27"/>
      <c r="R81" s="31"/>
    </row>
    <row r="82" spans="1:18" ht="15" customHeight="1">
      <c r="A82" s="24">
        <v>40</v>
      </c>
      <c r="B82" s="23" t="s">
        <v>65</v>
      </c>
      <c r="C82" s="24" t="s">
        <v>18</v>
      </c>
      <c r="D82" s="23"/>
      <c r="E82" s="23" t="s">
        <v>66</v>
      </c>
      <c r="F82" s="23" t="s">
        <v>409</v>
      </c>
      <c r="G82" s="23" t="s">
        <v>142</v>
      </c>
      <c r="H82" s="25">
        <v>9</v>
      </c>
      <c r="I82" s="1"/>
      <c r="J82" s="26"/>
      <c r="K82" s="27">
        <f t="shared" si="2"/>
        <v>0</v>
      </c>
      <c r="L82" s="27"/>
      <c r="M82" s="27"/>
      <c r="N82" s="1">
        <v>9</v>
      </c>
      <c r="O82" s="27">
        <f t="shared" si="1"/>
        <v>0</v>
      </c>
      <c r="P82" s="27"/>
      <c r="Q82" s="27"/>
      <c r="R82" s="31"/>
    </row>
    <row r="83" spans="1:18" ht="15" customHeight="1">
      <c r="A83" s="24"/>
      <c r="B83" s="23" t="s">
        <v>65</v>
      </c>
      <c r="C83" s="24" t="s">
        <v>18</v>
      </c>
      <c r="D83" s="23"/>
      <c r="E83" s="23" t="s">
        <v>66</v>
      </c>
      <c r="F83" s="23" t="s">
        <v>123</v>
      </c>
      <c r="G83" s="23" t="s">
        <v>136</v>
      </c>
      <c r="H83" s="25">
        <v>0</v>
      </c>
      <c r="I83" s="2"/>
      <c r="J83" s="26"/>
      <c r="K83" s="27">
        <f t="shared" si="2"/>
        <v>0</v>
      </c>
      <c r="L83" s="27"/>
      <c r="M83" s="27"/>
      <c r="N83" s="2"/>
      <c r="O83" s="27">
        <f t="shared" si="1"/>
        <v>0</v>
      </c>
      <c r="P83" s="27"/>
      <c r="Q83" s="27"/>
      <c r="R83" s="31"/>
    </row>
    <row r="84" spans="1:18" ht="15" customHeight="1">
      <c r="A84" s="24">
        <v>41</v>
      </c>
      <c r="B84" s="23" t="s">
        <v>67</v>
      </c>
      <c r="C84" s="24" t="s">
        <v>18</v>
      </c>
      <c r="D84" s="23"/>
      <c r="E84" s="23" t="s">
        <v>19</v>
      </c>
      <c r="F84" s="23" t="s">
        <v>410</v>
      </c>
      <c r="G84" s="23" t="s">
        <v>142</v>
      </c>
      <c r="H84" s="25">
        <v>14</v>
      </c>
      <c r="I84" s="1">
        <v>14</v>
      </c>
      <c r="J84" s="26">
        <v>14</v>
      </c>
      <c r="K84" s="27">
        <f t="shared" ref="K84:K152" si="3">L84+M84</f>
        <v>0</v>
      </c>
      <c r="L84" s="27"/>
      <c r="M84" s="27"/>
      <c r="N84" s="1">
        <v>9</v>
      </c>
      <c r="O84" s="27">
        <f t="shared" si="1"/>
        <v>1369.13</v>
      </c>
      <c r="P84" s="27">
        <v>1369.13</v>
      </c>
      <c r="Q84" s="27"/>
      <c r="R84" s="31"/>
    </row>
    <row r="85" spans="1:18" ht="15" customHeight="1">
      <c r="A85" s="24"/>
      <c r="B85" s="23" t="s">
        <v>67</v>
      </c>
      <c r="C85" s="24" t="s">
        <v>18</v>
      </c>
      <c r="D85" s="23"/>
      <c r="E85" s="23" t="s">
        <v>104</v>
      </c>
      <c r="F85" s="23" t="s">
        <v>123</v>
      </c>
      <c r="G85" s="23" t="s">
        <v>122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68</v>
      </c>
      <c r="C86" s="24" t="s">
        <v>18</v>
      </c>
      <c r="D86" s="24"/>
      <c r="E86" s="23" t="s">
        <v>50</v>
      </c>
      <c r="F86" s="23" t="s">
        <v>411</v>
      </c>
      <c r="G86" s="23" t="s">
        <v>142</v>
      </c>
      <c r="H86" s="25">
        <v>5</v>
      </c>
      <c r="I86" s="1"/>
      <c r="J86" s="26"/>
      <c r="K86" s="27">
        <f t="shared" si="3"/>
        <v>0</v>
      </c>
      <c r="L86" s="27"/>
      <c r="M86" s="27"/>
      <c r="N86" s="1"/>
      <c r="O86" s="27">
        <f t="shared" si="1"/>
        <v>0</v>
      </c>
      <c r="P86" s="27"/>
      <c r="Q86" s="27"/>
      <c r="R86" s="31"/>
    </row>
    <row r="87" spans="1:18" ht="15" customHeight="1">
      <c r="A87" s="24"/>
      <c r="B87" s="23" t="s">
        <v>68</v>
      </c>
      <c r="C87" s="24" t="s">
        <v>18</v>
      </c>
      <c r="D87" s="23"/>
      <c r="E87" s="23" t="s">
        <v>50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1"/>
        <v>0</v>
      </c>
      <c r="P87" s="27"/>
      <c r="Q87" s="27"/>
      <c r="R87" s="31"/>
    </row>
    <row r="88" spans="1:18" ht="15" customHeight="1">
      <c r="A88" s="24"/>
      <c r="B88" s="23" t="s">
        <v>68</v>
      </c>
      <c r="C88" s="24" t="s">
        <v>18</v>
      </c>
      <c r="D88" s="23"/>
      <c r="E88" s="23" t="s">
        <v>50</v>
      </c>
      <c r="F88" s="23" t="s">
        <v>292</v>
      </c>
      <c r="G88" s="23" t="s">
        <v>124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1"/>
        <v>0</v>
      </c>
      <c r="P88" s="27"/>
      <c r="Q88" s="27"/>
      <c r="R88" s="31"/>
    </row>
    <row r="89" spans="1:18" ht="15" customHeight="1">
      <c r="A89" s="24">
        <v>43</v>
      </c>
      <c r="B89" s="23" t="s">
        <v>127</v>
      </c>
      <c r="C89" s="24" t="s">
        <v>18</v>
      </c>
      <c r="D89" s="23"/>
      <c r="E89" s="23" t="s">
        <v>41</v>
      </c>
      <c r="F89" s="23" t="s">
        <v>412</v>
      </c>
      <c r="G89" s="23" t="s">
        <v>142</v>
      </c>
      <c r="H89" s="25">
        <v>7</v>
      </c>
      <c r="I89" s="2">
        <v>1</v>
      </c>
      <c r="J89" s="26">
        <v>1</v>
      </c>
      <c r="K89" s="27">
        <f t="shared" si="3"/>
        <v>0</v>
      </c>
      <c r="L89" s="27"/>
      <c r="M89" s="27"/>
      <c r="N89" s="2">
        <v>2</v>
      </c>
      <c r="O89" s="27">
        <f t="shared" si="1"/>
        <v>3045.34</v>
      </c>
      <c r="P89" s="27">
        <v>3045.34</v>
      </c>
      <c r="Q89" s="27"/>
      <c r="R89" s="31"/>
    </row>
    <row r="90" spans="1:18" ht="15" customHeight="1">
      <c r="A90" s="24"/>
      <c r="B90" s="23" t="s">
        <v>127</v>
      </c>
      <c r="C90" s="24" t="s">
        <v>18</v>
      </c>
      <c r="D90" s="23"/>
      <c r="E90" s="23" t="s">
        <v>50</v>
      </c>
      <c r="F90" s="23" t="s">
        <v>364</v>
      </c>
      <c r="G90" s="23" t="s">
        <v>136</v>
      </c>
      <c r="H90" s="25">
        <v>10</v>
      </c>
      <c r="I90" s="2">
        <v>1</v>
      </c>
      <c r="J90" s="26">
        <v>1</v>
      </c>
      <c r="K90" s="27">
        <f t="shared" si="3"/>
        <v>0</v>
      </c>
      <c r="L90" s="27"/>
      <c r="M90" s="27"/>
      <c r="N90" s="2">
        <v>13</v>
      </c>
      <c r="O90" s="27">
        <f t="shared" si="1"/>
        <v>0</v>
      </c>
      <c r="P90" s="27"/>
      <c r="Q90" s="27"/>
      <c r="R90" s="31"/>
    </row>
    <row r="91" spans="1:18" ht="15" customHeight="1">
      <c r="A91" s="24"/>
      <c r="B91" s="23" t="s">
        <v>127</v>
      </c>
      <c r="C91" s="24" t="s">
        <v>18</v>
      </c>
      <c r="D91" s="23"/>
      <c r="E91" s="23" t="s">
        <v>50</v>
      </c>
      <c r="F91" s="23" t="s">
        <v>375</v>
      </c>
      <c r="G91" s="23" t="s">
        <v>124</v>
      </c>
      <c r="H91" s="25">
        <v>1</v>
      </c>
      <c r="I91" s="2"/>
      <c r="J91" s="26"/>
      <c r="K91" s="27">
        <f t="shared" si="3"/>
        <v>0</v>
      </c>
      <c r="L91" s="27"/>
      <c r="M91" s="27"/>
      <c r="N91" s="2">
        <v>1</v>
      </c>
      <c r="O91" s="27">
        <f t="shared" ref="O91:O188" si="4">P91+Q91</f>
        <v>0</v>
      </c>
      <c r="P91" s="27"/>
      <c r="Q91" s="27"/>
      <c r="R91" s="31"/>
    </row>
    <row r="92" spans="1:18" ht="15" customHeight="1">
      <c r="A92" s="74">
        <v>44</v>
      </c>
      <c r="B92" s="77" t="s">
        <v>69</v>
      </c>
      <c r="C92" s="74" t="s">
        <v>18</v>
      </c>
      <c r="D92" s="77"/>
      <c r="E92" s="77" t="s">
        <v>19</v>
      </c>
      <c r="F92" s="77" t="s">
        <v>292</v>
      </c>
      <c r="G92" s="77" t="s">
        <v>142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31"/>
    </row>
    <row r="93" spans="1:18" ht="15.75" customHeight="1">
      <c r="A93" s="74">
        <v>45</v>
      </c>
      <c r="B93" s="77" t="s">
        <v>70</v>
      </c>
      <c r="C93" s="74" t="s">
        <v>18</v>
      </c>
      <c r="D93" s="77"/>
      <c r="E93" s="77" t="s">
        <v>19</v>
      </c>
      <c r="F93" s="77" t="s">
        <v>413</v>
      </c>
      <c r="G93" s="77" t="s">
        <v>142</v>
      </c>
      <c r="H93" s="25">
        <v>6</v>
      </c>
      <c r="I93" s="1">
        <v>4</v>
      </c>
      <c r="J93" s="26">
        <v>4</v>
      </c>
      <c r="K93" s="27">
        <f t="shared" si="3"/>
        <v>0</v>
      </c>
      <c r="L93" s="27"/>
      <c r="M93" s="27"/>
      <c r="N93" s="1">
        <v>4</v>
      </c>
      <c r="O93" s="27">
        <f t="shared" si="4"/>
        <v>3806.1</v>
      </c>
      <c r="P93" s="27">
        <v>3806.1</v>
      </c>
      <c r="Q93" s="27"/>
      <c r="R93" s="31"/>
    </row>
    <row r="94" spans="1:18" ht="15" customHeight="1">
      <c r="A94" s="74">
        <v>46</v>
      </c>
      <c r="B94" s="77" t="s">
        <v>71</v>
      </c>
      <c r="C94" s="74" t="s">
        <v>18</v>
      </c>
      <c r="D94" s="77"/>
      <c r="E94" s="77" t="s">
        <v>32</v>
      </c>
      <c r="F94" s="77" t="s">
        <v>292</v>
      </c>
      <c r="G94" s="77" t="s">
        <v>121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" customHeight="1">
      <c r="A95" s="24"/>
      <c r="B95" s="23" t="s">
        <v>71</v>
      </c>
      <c r="C95" s="24" t="s">
        <v>18</v>
      </c>
      <c r="D95" s="23"/>
      <c r="E95" s="23" t="s">
        <v>32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31"/>
    </row>
    <row r="96" spans="1:18" ht="15" customHeight="1">
      <c r="A96" s="24">
        <v>47</v>
      </c>
      <c r="B96" s="23" t="s">
        <v>72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31"/>
    </row>
    <row r="97" spans="1:18" ht="15" customHeight="1">
      <c r="A97" s="24"/>
      <c r="B97" s="23" t="s">
        <v>72</v>
      </c>
      <c r="C97" s="24" t="s">
        <v>18</v>
      </c>
      <c r="D97" s="23"/>
      <c r="E97" s="23" t="s">
        <v>19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73</v>
      </c>
      <c r="C98" s="24" t="s">
        <v>18</v>
      </c>
      <c r="D98" s="23"/>
      <c r="E98" s="23" t="s">
        <v>19</v>
      </c>
      <c r="F98" s="23"/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>
        <v>49</v>
      </c>
      <c r="B99" s="23" t="s">
        <v>74</v>
      </c>
      <c r="C99" s="24" t="s">
        <v>18</v>
      </c>
      <c r="D99" s="23"/>
      <c r="E99" s="23" t="s">
        <v>19</v>
      </c>
      <c r="F99" s="23" t="s">
        <v>414</v>
      </c>
      <c r="G99" s="23" t="s">
        <v>142</v>
      </c>
      <c r="H99" s="25">
        <v>12</v>
      </c>
      <c r="I99" s="1">
        <v>4</v>
      </c>
      <c r="J99" s="26">
        <v>4</v>
      </c>
      <c r="K99" s="27">
        <f t="shared" si="3"/>
        <v>0</v>
      </c>
      <c r="L99" s="27"/>
      <c r="M99" s="27"/>
      <c r="N99" s="1">
        <v>6</v>
      </c>
      <c r="O99" s="27">
        <f t="shared" si="4"/>
        <v>8926.48</v>
      </c>
      <c r="P99" s="27">
        <v>8926.48</v>
      </c>
      <c r="Q99" s="27"/>
      <c r="R99" s="31"/>
    </row>
    <row r="100" spans="1:18" ht="15" customHeight="1">
      <c r="A100" s="24">
        <v>50</v>
      </c>
      <c r="B100" s="23" t="s">
        <v>312</v>
      </c>
      <c r="C100" s="24" t="s">
        <v>18</v>
      </c>
      <c r="D100" s="23"/>
      <c r="E100" s="23" t="s">
        <v>19</v>
      </c>
      <c r="F100" s="23" t="s">
        <v>415</v>
      </c>
      <c r="G100" s="23" t="s">
        <v>142</v>
      </c>
      <c r="H100" s="25">
        <v>6</v>
      </c>
      <c r="I100" s="1">
        <v>1</v>
      </c>
      <c r="J100" s="26">
        <v>1</v>
      </c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/>
      <c r="B101" s="23" t="s">
        <v>312</v>
      </c>
      <c r="C101" s="24" t="s">
        <v>18</v>
      </c>
      <c r="D101" s="23"/>
      <c r="E101" s="23" t="s">
        <v>304</v>
      </c>
      <c r="F101" s="23" t="s">
        <v>339</v>
      </c>
      <c r="G101" s="23" t="s">
        <v>131</v>
      </c>
      <c r="H101" s="25">
        <v>10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18" ht="15" customHeight="1">
      <c r="A102" s="24"/>
      <c r="B102" s="23" t="s">
        <v>312</v>
      </c>
      <c r="C102" s="24" t="s">
        <v>18</v>
      </c>
      <c r="D102" s="23"/>
      <c r="E102" s="23" t="s">
        <v>41</v>
      </c>
      <c r="F102" s="23" t="s">
        <v>365</v>
      </c>
      <c r="G102" s="23" t="s">
        <v>136</v>
      </c>
      <c r="H102" s="25">
        <v>9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>
        <v>51</v>
      </c>
      <c r="B103" s="23" t="s">
        <v>75</v>
      </c>
      <c r="C103" s="24" t="s">
        <v>18</v>
      </c>
      <c r="D103" s="23"/>
      <c r="E103" s="23" t="s">
        <v>19</v>
      </c>
      <c r="F103" s="23" t="s">
        <v>416</v>
      </c>
      <c r="G103" s="23" t="s">
        <v>142</v>
      </c>
      <c r="H103" s="25">
        <v>6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15</v>
      </c>
      <c r="O103" s="27">
        <f>P103+Q103</f>
        <v>0</v>
      </c>
      <c r="P103" s="27"/>
      <c r="Q103" s="27"/>
      <c r="R103" s="31"/>
    </row>
    <row r="104" spans="1:18" ht="13.15" customHeight="1">
      <c r="A104" s="24"/>
      <c r="B104" s="23" t="s">
        <v>75</v>
      </c>
      <c r="C104" s="24" t="s">
        <v>18</v>
      </c>
      <c r="D104" s="23"/>
      <c r="E104" s="23" t="s">
        <v>76</v>
      </c>
      <c r="F104" s="23" t="s">
        <v>335</v>
      </c>
      <c r="G104" s="23" t="s">
        <v>131</v>
      </c>
      <c r="H104" s="25">
        <v>1</v>
      </c>
      <c r="I104" s="1"/>
      <c r="J104" s="26"/>
      <c r="K104" s="27">
        <f t="shared" si="3"/>
        <v>0</v>
      </c>
      <c r="L104" s="27"/>
      <c r="M104" s="27"/>
      <c r="N104" s="1">
        <v>5</v>
      </c>
      <c r="O104" s="27">
        <f>P104+Q104</f>
        <v>792.9</v>
      </c>
      <c r="P104" s="27">
        <v>792.9</v>
      </c>
      <c r="Q104" s="27"/>
      <c r="R104" s="31"/>
    </row>
    <row r="105" spans="1:18" ht="15" customHeight="1">
      <c r="A105" s="24"/>
      <c r="B105" s="23" t="s">
        <v>140</v>
      </c>
      <c r="C105" s="24" t="s">
        <v>18</v>
      </c>
      <c r="D105" s="23"/>
      <c r="E105" s="23" t="s">
        <v>76</v>
      </c>
      <c r="F105" s="23" t="s">
        <v>377</v>
      </c>
      <c r="G105" s="23" t="s">
        <v>136</v>
      </c>
      <c r="H105" s="25">
        <v>1</v>
      </c>
      <c r="I105" s="2"/>
      <c r="J105" s="26"/>
      <c r="K105" s="27">
        <f t="shared" si="3"/>
        <v>0</v>
      </c>
      <c r="L105" s="27"/>
      <c r="M105" s="27"/>
      <c r="N105" s="2">
        <v>18</v>
      </c>
      <c r="O105" s="27">
        <f>P105+Q105</f>
        <v>4212.68</v>
      </c>
      <c r="P105" s="27">
        <v>4212.68</v>
      </c>
      <c r="Q105" s="27"/>
      <c r="R105" s="31"/>
    </row>
    <row r="106" spans="1:18" ht="15" customHeight="1">
      <c r="A106" s="24">
        <v>52</v>
      </c>
      <c r="B106" s="23" t="s">
        <v>267</v>
      </c>
      <c r="C106" s="24" t="s">
        <v>18</v>
      </c>
      <c r="D106" s="23"/>
      <c r="E106" s="23" t="s">
        <v>19</v>
      </c>
      <c r="F106" s="23" t="s">
        <v>268</v>
      </c>
      <c r="G106" s="23" t="s">
        <v>142</v>
      </c>
      <c r="H106" s="25">
        <v>0</v>
      </c>
      <c r="I106" s="2"/>
      <c r="J106" s="26"/>
      <c r="K106" s="27">
        <f t="shared" si="3"/>
        <v>0</v>
      </c>
      <c r="L106" s="27"/>
      <c r="M106" s="27"/>
      <c r="N106" s="2"/>
      <c r="O106" s="27">
        <f>P106+Q106</f>
        <v>0</v>
      </c>
      <c r="P106" s="27"/>
      <c r="Q106" s="27"/>
      <c r="R106" s="31"/>
    </row>
    <row r="107" spans="1:18" ht="15" customHeight="1">
      <c r="A107" s="24"/>
      <c r="B107" s="23" t="s">
        <v>267</v>
      </c>
      <c r="C107" s="24" t="s">
        <v>18</v>
      </c>
      <c r="D107" s="23"/>
      <c r="E107" s="23" t="s">
        <v>19</v>
      </c>
      <c r="F107" s="23" t="s">
        <v>336</v>
      </c>
      <c r="G107" s="23" t="s">
        <v>131</v>
      </c>
      <c r="H107" s="25">
        <v>5</v>
      </c>
      <c r="I107" s="2"/>
      <c r="J107" s="26"/>
      <c r="K107" s="27">
        <f t="shared" si="3"/>
        <v>0</v>
      </c>
      <c r="L107" s="27"/>
      <c r="M107" s="27"/>
      <c r="N107" s="2">
        <v>2</v>
      </c>
      <c r="O107" s="27">
        <f t="shared" ref="O107:O111" si="5">P107+Q107</f>
        <v>3171.6</v>
      </c>
      <c r="P107" s="27">
        <v>3171.6</v>
      </c>
      <c r="Q107" s="27"/>
      <c r="R107" s="31"/>
    </row>
    <row r="108" spans="1:18" ht="15" customHeight="1">
      <c r="A108" s="24"/>
      <c r="B108" s="23" t="s">
        <v>267</v>
      </c>
      <c r="C108" s="24" t="s">
        <v>18</v>
      </c>
      <c r="D108" s="23"/>
      <c r="E108" s="23" t="s">
        <v>19</v>
      </c>
      <c r="F108" s="23" t="s">
        <v>123</v>
      </c>
      <c r="G108" s="23" t="s">
        <v>122</v>
      </c>
      <c r="H108" s="25">
        <v>3</v>
      </c>
      <c r="I108" s="2"/>
      <c r="J108" s="26"/>
      <c r="K108" s="27">
        <f t="shared" si="3"/>
        <v>0</v>
      </c>
      <c r="L108" s="27"/>
      <c r="M108" s="27"/>
      <c r="N108" s="2">
        <v>1</v>
      </c>
      <c r="O108" s="27">
        <f t="shared" si="5"/>
        <v>0</v>
      </c>
      <c r="P108" s="27"/>
      <c r="Q108" s="27"/>
      <c r="R108" s="31"/>
    </row>
    <row r="109" spans="1:18" ht="15" customHeight="1">
      <c r="A109" s="24">
        <v>53</v>
      </c>
      <c r="B109" s="23" t="s">
        <v>306</v>
      </c>
      <c r="C109" s="24" t="s">
        <v>18</v>
      </c>
      <c r="D109" s="23"/>
      <c r="E109" s="23" t="s">
        <v>104</v>
      </c>
      <c r="F109" s="23" t="s">
        <v>417</v>
      </c>
      <c r="G109" s="23" t="s">
        <v>142</v>
      </c>
      <c r="H109" s="25">
        <v>7</v>
      </c>
      <c r="I109" s="2"/>
      <c r="J109" s="26"/>
      <c r="K109" s="27">
        <v>0</v>
      </c>
      <c r="L109" s="27"/>
      <c r="M109" s="27"/>
      <c r="N109" s="2"/>
      <c r="O109" s="27">
        <v>0</v>
      </c>
      <c r="P109" s="27"/>
      <c r="Q109" s="27"/>
      <c r="R109" s="31"/>
    </row>
    <row r="110" spans="1:18" ht="15" customHeight="1">
      <c r="A110" s="24"/>
      <c r="B110" s="23" t="s">
        <v>306</v>
      </c>
      <c r="C110" s="24" t="s">
        <v>30</v>
      </c>
      <c r="D110" s="23" t="s">
        <v>334</v>
      </c>
      <c r="E110" s="23" t="s">
        <v>104</v>
      </c>
      <c r="F110" s="23" t="s">
        <v>340</v>
      </c>
      <c r="G110" s="23" t="s">
        <v>131</v>
      </c>
      <c r="H110" s="25">
        <v>7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31"/>
    </row>
    <row r="111" spans="1:18" ht="15" customHeight="1">
      <c r="A111" s="24"/>
      <c r="B111" s="23" t="s">
        <v>306</v>
      </c>
      <c r="C111" s="24" t="s">
        <v>30</v>
      </c>
      <c r="D111" s="23" t="s">
        <v>307</v>
      </c>
      <c r="E111" s="23" t="s">
        <v>19</v>
      </c>
      <c r="F111" s="23" t="s">
        <v>350</v>
      </c>
      <c r="G111" s="23" t="s">
        <v>122</v>
      </c>
      <c r="H111" s="25">
        <v>5</v>
      </c>
      <c r="I111" s="2">
        <v>1</v>
      </c>
      <c r="J111" s="26">
        <v>1</v>
      </c>
      <c r="K111" s="27">
        <f t="shared" si="3"/>
        <v>0</v>
      </c>
      <c r="L111" s="27"/>
      <c r="M111" s="27"/>
      <c r="N111" s="2"/>
      <c r="O111" s="27">
        <f t="shared" si="5"/>
        <v>0</v>
      </c>
      <c r="P111" s="27"/>
      <c r="Q111" s="27"/>
      <c r="R111" s="31"/>
    </row>
    <row r="112" spans="1:18" ht="30.75" customHeight="1">
      <c r="A112" s="24">
        <v>54</v>
      </c>
      <c r="B112" s="23" t="s">
        <v>78</v>
      </c>
      <c r="C112" s="24" t="s">
        <v>18</v>
      </c>
      <c r="D112" s="23" t="s">
        <v>276</v>
      </c>
      <c r="E112" s="23" t="s">
        <v>19</v>
      </c>
      <c r="F112" s="23" t="s">
        <v>418</v>
      </c>
      <c r="G112" s="23" t="s">
        <v>142</v>
      </c>
      <c r="H112" s="25">
        <v>13</v>
      </c>
      <c r="I112" s="1">
        <v>11</v>
      </c>
      <c r="J112" s="26">
        <v>11</v>
      </c>
      <c r="K112" s="27">
        <f t="shared" si="3"/>
        <v>0</v>
      </c>
      <c r="L112" s="27"/>
      <c r="M112" s="27"/>
      <c r="N112" s="1">
        <v>4</v>
      </c>
      <c r="O112" s="27">
        <f t="shared" si="4"/>
        <v>0</v>
      </c>
      <c r="P112" s="27"/>
      <c r="Q112" s="27"/>
      <c r="R112" s="31"/>
    </row>
    <row r="113" spans="1:18" ht="15" customHeight="1">
      <c r="A113" s="24"/>
      <c r="B113" s="23" t="s">
        <v>78</v>
      </c>
      <c r="C113" s="24" t="s">
        <v>18</v>
      </c>
      <c r="D113" s="23"/>
      <c r="E113" s="23" t="s">
        <v>19</v>
      </c>
      <c r="F113" s="23" t="s">
        <v>120</v>
      </c>
      <c r="G113" s="23" t="s">
        <v>131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31"/>
    </row>
    <row r="114" spans="1:18" ht="15" customHeight="1">
      <c r="A114" s="24"/>
      <c r="B114" s="23" t="s">
        <v>78</v>
      </c>
      <c r="C114" s="24" t="s">
        <v>18</v>
      </c>
      <c r="D114" s="23"/>
      <c r="E114" s="23" t="s">
        <v>19</v>
      </c>
      <c r="F114" s="23" t="s">
        <v>120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31"/>
    </row>
    <row r="115" spans="1:18" ht="15" customHeight="1">
      <c r="A115" s="24">
        <v>55</v>
      </c>
      <c r="B115" s="23" t="s">
        <v>79</v>
      </c>
      <c r="C115" s="24" t="s">
        <v>18</v>
      </c>
      <c r="D115" s="23"/>
      <c r="E115" s="23" t="s">
        <v>19</v>
      </c>
      <c r="F115" s="23"/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>
        <v>56</v>
      </c>
      <c r="B116" s="23" t="s">
        <v>80</v>
      </c>
      <c r="C116" s="24" t="s">
        <v>18</v>
      </c>
      <c r="D116" s="23"/>
      <c r="E116" s="23" t="s">
        <v>19</v>
      </c>
      <c r="F116" s="23" t="s">
        <v>419</v>
      </c>
      <c r="G116" s="23" t="s">
        <v>142</v>
      </c>
      <c r="H116" s="25">
        <v>13</v>
      </c>
      <c r="I116" s="1">
        <v>9</v>
      </c>
      <c r="J116" s="26">
        <v>10</v>
      </c>
      <c r="K116" s="27">
        <f t="shared" si="3"/>
        <v>0</v>
      </c>
      <c r="L116" s="27"/>
      <c r="M116" s="27"/>
      <c r="N116" s="1">
        <v>6</v>
      </c>
      <c r="O116" s="27">
        <f t="shared" si="4"/>
        <v>0</v>
      </c>
      <c r="P116" s="27"/>
      <c r="Q116" s="27"/>
      <c r="R116" s="31"/>
    </row>
    <row r="117" spans="1:18" ht="15" customHeight="1">
      <c r="A117" s="24"/>
      <c r="B117" s="23" t="s">
        <v>80</v>
      </c>
      <c r="C117" s="24" t="s">
        <v>18</v>
      </c>
      <c r="D117" s="23"/>
      <c r="E117" s="23" t="s">
        <v>19</v>
      </c>
      <c r="F117" s="23" t="s">
        <v>120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372</v>
      </c>
      <c r="C118" s="24" t="s">
        <v>18</v>
      </c>
      <c r="D118" s="23"/>
      <c r="E118" s="23" t="s">
        <v>19</v>
      </c>
      <c r="F118" s="23" t="s">
        <v>420</v>
      </c>
      <c r="G118" s="23" t="s">
        <v>142</v>
      </c>
      <c r="H118" s="25">
        <v>6</v>
      </c>
      <c r="I118" s="1"/>
      <c r="J118" s="26"/>
      <c r="K118" s="27">
        <v>0</v>
      </c>
      <c r="L118" s="27"/>
      <c r="M118" s="27"/>
      <c r="N118" s="1"/>
      <c r="O118" s="27">
        <v>0</v>
      </c>
      <c r="P118" s="27"/>
      <c r="Q118" s="27"/>
      <c r="R118" s="31"/>
    </row>
    <row r="119" spans="1:18" ht="15" customHeight="1">
      <c r="A119" s="24">
        <v>58</v>
      </c>
      <c r="B119" s="23" t="s">
        <v>313</v>
      </c>
      <c r="C119" s="24" t="s">
        <v>18</v>
      </c>
      <c r="D119" s="23"/>
      <c r="E119" s="23"/>
      <c r="F119" s="23" t="s">
        <v>342</v>
      </c>
      <c r="G119" s="23" t="s">
        <v>131</v>
      </c>
      <c r="H119" s="25">
        <v>7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/>
      <c r="B120" s="23" t="s">
        <v>313</v>
      </c>
      <c r="C120" s="24" t="s">
        <v>18</v>
      </c>
      <c r="D120" s="23"/>
      <c r="E120" s="23" t="s">
        <v>41</v>
      </c>
      <c r="F120" s="23" t="s">
        <v>366</v>
      </c>
      <c r="G120" s="23" t="s">
        <v>136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31"/>
    </row>
    <row r="121" spans="1:18" ht="15" customHeight="1">
      <c r="A121" s="24">
        <v>59</v>
      </c>
      <c r="B121" s="23" t="s">
        <v>373</v>
      </c>
      <c r="C121" s="24" t="s">
        <v>52</v>
      </c>
      <c r="D121" s="23" t="s">
        <v>378</v>
      </c>
      <c r="E121" s="23" t="s">
        <v>104</v>
      </c>
      <c r="F121" s="23" t="s">
        <v>422</v>
      </c>
      <c r="G121" s="23" t="s">
        <v>142</v>
      </c>
      <c r="H121" s="25">
        <v>4</v>
      </c>
      <c r="I121" s="1"/>
      <c r="J121" s="26"/>
      <c r="K121" s="27">
        <v>0</v>
      </c>
      <c r="L121" s="27"/>
      <c r="M121" s="27"/>
      <c r="N121" s="1"/>
      <c r="O121" s="27">
        <v>0</v>
      </c>
      <c r="P121" s="27"/>
      <c r="Q121" s="27"/>
      <c r="R121" s="31"/>
    </row>
    <row r="122" spans="1:18" ht="15" customHeight="1">
      <c r="A122" s="24">
        <v>60</v>
      </c>
      <c r="B122" s="23" t="s">
        <v>81</v>
      </c>
      <c r="C122" s="24" t="s">
        <v>18</v>
      </c>
      <c r="D122" s="23"/>
      <c r="E122" s="23" t="s">
        <v>19</v>
      </c>
      <c r="F122" s="23" t="s">
        <v>421</v>
      </c>
      <c r="G122" s="23" t="s">
        <v>142</v>
      </c>
      <c r="H122" s="25">
        <v>3</v>
      </c>
      <c r="I122" s="1"/>
      <c r="J122" s="26"/>
      <c r="K122" s="27">
        <f t="shared" si="3"/>
        <v>0</v>
      </c>
      <c r="L122" s="27"/>
      <c r="M122" s="27"/>
      <c r="N122" s="1">
        <v>3</v>
      </c>
      <c r="O122" s="27">
        <f t="shared" si="4"/>
        <v>2479.17</v>
      </c>
      <c r="P122" s="27">
        <v>2479.17</v>
      </c>
      <c r="Q122" s="27"/>
      <c r="R122" s="31"/>
    </row>
    <row r="123" spans="1:18" ht="15" customHeight="1">
      <c r="A123" s="24"/>
      <c r="B123" s="23" t="s">
        <v>81</v>
      </c>
      <c r="C123" s="24" t="s">
        <v>18</v>
      </c>
      <c r="D123" s="23"/>
      <c r="E123" s="23" t="s">
        <v>19</v>
      </c>
      <c r="F123" s="23" t="s">
        <v>453</v>
      </c>
      <c r="G123" s="23" t="s">
        <v>122</v>
      </c>
      <c r="H123" s="25">
        <v>0</v>
      </c>
      <c r="I123" s="1"/>
      <c r="J123" s="26"/>
      <c r="K123" s="27">
        <f t="shared" si="3"/>
        <v>0</v>
      </c>
      <c r="L123" s="27"/>
      <c r="M123" s="27"/>
      <c r="N123" s="1">
        <v>1</v>
      </c>
      <c r="O123" s="27">
        <f t="shared" si="4"/>
        <v>0</v>
      </c>
      <c r="P123" s="27"/>
      <c r="Q123" s="27"/>
      <c r="R123" s="31"/>
    </row>
    <row r="124" spans="1:18" ht="15" customHeight="1">
      <c r="A124" s="24">
        <v>61</v>
      </c>
      <c r="B124" s="23" t="s">
        <v>82</v>
      </c>
      <c r="C124" s="24" t="s">
        <v>18</v>
      </c>
      <c r="D124" s="23"/>
      <c r="E124" s="23" t="s">
        <v>19</v>
      </c>
      <c r="F124" s="23" t="s">
        <v>423</v>
      </c>
      <c r="G124" s="23" t="s">
        <v>142</v>
      </c>
      <c r="H124" s="25">
        <v>10</v>
      </c>
      <c r="I124" s="1">
        <v>10</v>
      </c>
      <c r="J124" s="26">
        <v>10</v>
      </c>
      <c r="K124" s="27">
        <f t="shared" si="3"/>
        <v>0</v>
      </c>
      <c r="L124" s="27"/>
      <c r="M124" s="27"/>
      <c r="N124" s="1">
        <v>7</v>
      </c>
      <c r="O124" s="27">
        <f t="shared" si="4"/>
        <v>0</v>
      </c>
      <c r="P124" s="27"/>
      <c r="Q124" s="27"/>
      <c r="R124" s="31"/>
    </row>
    <row r="125" spans="1:18" ht="15" customHeight="1">
      <c r="A125" s="24"/>
      <c r="B125" s="23" t="s">
        <v>82</v>
      </c>
      <c r="C125" s="24" t="s">
        <v>18</v>
      </c>
      <c r="D125" s="23"/>
      <c r="E125" s="23" t="s">
        <v>19</v>
      </c>
      <c r="F125" s="23" t="s">
        <v>295</v>
      </c>
      <c r="G125" s="23" t="s">
        <v>122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>
        <v>2</v>
      </c>
      <c r="O125" s="27">
        <f t="shared" si="4"/>
        <v>0</v>
      </c>
      <c r="P125" s="27"/>
      <c r="Q125" s="27"/>
      <c r="R125" s="31"/>
    </row>
    <row r="126" spans="1:18" ht="14.45" customHeight="1">
      <c r="A126" s="24">
        <v>62</v>
      </c>
      <c r="B126" s="23" t="s">
        <v>83</v>
      </c>
      <c r="C126" s="24" t="s">
        <v>30</v>
      </c>
      <c r="D126" s="23" t="s">
        <v>184</v>
      </c>
      <c r="E126" s="23" t="s">
        <v>19</v>
      </c>
      <c r="F126" s="23" t="s">
        <v>424</v>
      </c>
      <c r="G126" s="23" t="s">
        <v>142</v>
      </c>
      <c r="H126" s="25">
        <v>31</v>
      </c>
      <c r="I126" s="1">
        <v>15</v>
      </c>
      <c r="J126" s="26">
        <v>15</v>
      </c>
      <c r="K126" s="27">
        <f t="shared" si="3"/>
        <v>0</v>
      </c>
      <c r="L126" s="27"/>
      <c r="M126" s="27"/>
      <c r="N126" s="1">
        <v>8</v>
      </c>
      <c r="O126" s="27">
        <f t="shared" si="4"/>
        <v>4741.68</v>
      </c>
      <c r="P126" s="27">
        <v>4741.68</v>
      </c>
      <c r="Q126" s="27"/>
      <c r="R126" s="31"/>
    </row>
    <row r="127" spans="1:18" ht="14.45" customHeight="1">
      <c r="A127" s="24">
        <v>63</v>
      </c>
      <c r="B127" s="23" t="s">
        <v>303</v>
      </c>
      <c r="C127" s="24" t="s">
        <v>18</v>
      </c>
      <c r="D127" s="23"/>
      <c r="E127" s="23" t="s">
        <v>304</v>
      </c>
      <c r="F127" s="23" t="s">
        <v>298</v>
      </c>
      <c r="G127" s="23" t="s">
        <v>131</v>
      </c>
      <c r="H127" s="25">
        <v>8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31"/>
    </row>
    <row r="128" spans="1:18" ht="15" customHeight="1">
      <c r="A128" s="24">
        <v>64</v>
      </c>
      <c r="B128" s="23" t="s">
        <v>84</v>
      </c>
      <c r="C128" s="24" t="s">
        <v>18</v>
      </c>
      <c r="D128" s="23"/>
      <c r="E128" s="23" t="s">
        <v>19</v>
      </c>
      <c r="F128" s="23" t="s">
        <v>425</v>
      </c>
      <c r="G128" s="23" t="s">
        <v>142</v>
      </c>
      <c r="H128" s="25">
        <v>13</v>
      </c>
      <c r="I128" s="1">
        <v>10</v>
      </c>
      <c r="J128" s="26">
        <v>10</v>
      </c>
      <c r="K128" s="27">
        <f t="shared" si="3"/>
        <v>0</v>
      </c>
      <c r="L128" s="27"/>
      <c r="M128" s="27"/>
      <c r="N128" s="1">
        <v>8</v>
      </c>
      <c r="O128" s="27">
        <f t="shared" si="4"/>
        <v>3710.9</v>
      </c>
      <c r="P128" s="27">
        <f>919.46+2791.44</f>
        <v>3710.9</v>
      </c>
      <c r="Q128" s="27"/>
      <c r="R128" s="31"/>
    </row>
    <row r="129" spans="1:18" ht="15" customHeight="1">
      <c r="A129" s="24"/>
      <c r="B129" s="23" t="s">
        <v>84</v>
      </c>
      <c r="C129" s="24" t="s">
        <v>18</v>
      </c>
      <c r="D129" s="23"/>
      <c r="E129" s="23" t="s">
        <v>19</v>
      </c>
      <c r="F129" s="23" t="s">
        <v>123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85</v>
      </c>
      <c r="C130" s="24" t="s">
        <v>18</v>
      </c>
      <c r="D130" s="23"/>
      <c r="E130" s="23" t="s">
        <v>77</v>
      </c>
      <c r="F130" s="23" t="s">
        <v>426</v>
      </c>
      <c r="G130" s="23" t="s">
        <v>142</v>
      </c>
      <c r="H130" s="25">
        <v>13</v>
      </c>
      <c r="I130" s="1">
        <v>3</v>
      </c>
      <c r="J130" s="26">
        <v>3</v>
      </c>
      <c r="K130" s="27">
        <f t="shared" si="3"/>
        <v>0</v>
      </c>
      <c r="L130" s="27"/>
      <c r="M130" s="27"/>
      <c r="N130" s="1">
        <v>12</v>
      </c>
      <c r="O130" s="27">
        <f t="shared" si="4"/>
        <v>0</v>
      </c>
      <c r="P130" s="27"/>
      <c r="Q130" s="27"/>
      <c r="R130" s="31"/>
    </row>
    <row r="131" spans="1:18" ht="15" customHeight="1">
      <c r="A131" s="24"/>
      <c r="B131" s="23" t="s">
        <v>85</v>
      </c>
      <c r="C131" s="24" t="s">
        <v>18</v>
      </c>
      <c r="D131" s="23"/>
      <c r="E131" s="23" t="s">
        <v>301</v>
      </c>
      <c r="F131" s="23" t="s">
        <v>337</v>
      </c>
      <c r="G131" s="23" t="s">
        <v>131</v>
      </c>
      <c r="H131" s="25">
        <v>23</v>
      </c>
      <c r="I131" s="1"/>
      <c r="J131" s="26"/>
      <c r="K131" s="27">
        <f t="shared" si="3"/>
        <v>0</v>
      </c>
      <c r="L131" s="27"/>
      <c r="M131" s="27"/>
      <c r="N131" s="1">
        <v>5</v>
      </c>
      <c r="O131" s="27">
        <f t="shared" si="4"/>
        <v>462.53</v>
      </c>
      <c r="P131" s="27">
        <v>462.53</v>
      </c>
      <c r="Q131" s="27"/>
      <c r="R131" s="31"/>
    </row>
    <row r="132" spans="1:18" ht="15" customHeight="1">
      <c r="A132" s="24">
        <v>66</v>
      </c>
      <c r="B132" s="23" t="s">
        <v>86</v>
      </c>
      <c r="C132" s="24" t="s">
        <v>18</v>
      </c>
      <c r="D132" s="23"/>
      <c r="E132" s="23" t="s">
        <v>77</v>
      </c>
      <c r="F132" s="23" t="s">
        <v>427</v>
      </c>
      <c r="G132" s="23" t="s">
        <v>142</v>
      </c>
      <c r="H132" s="25">
        <v>9</v>
      </c>
      <c r="I132" s="1">
        <v>1</v>
      </c>
      <c r="J132" s="26">
        <v>1</v>
      </c>
      <c r="K132" s="27">
        <f t="shared" si="3"/>
        <v>0</v>
      </c>
      <c r="L132" s="27"/>
      <c r="M132" s="27"/>
      <c r="N132" s="1">
        <v>5</v>
      </c>
      <c r="O132" s="27">
        <f t="shared" si="4"/>
        <v>3824.23</v>
      </c>
      <c r="P132" s="27">
        <f>1359.87+2464.36</f>
        <v>3824.23</v>
      </c>
      <c r="Q132" s="27"/>
      <c r="R132" s="31"/>
    </row>
    <row r="133" spans="1:18" ht="15" customHeight="1">
      <c r="A133" s="24"/>
      <c r="B133" s="23" t="s">
        <v>86</v>
      </c>
      <c r="C133" s="24" t="s">
        <v>18</v>
      </c>
      <c r="D133" s="23"/>
      <c r="E133" s="23" t="s">
        <v>301</v>
      </c>
      <c r="F133" s="23" t="s">
        <v>338</v>
      </c>
      <c r="G133" s="23" t="s">
        <v>131</v>
      </c>
      <c r="H133" s="25">
        <v>1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31"/>
    </row>
    <row r="134" spans="1:18" ht="28.9" customHeight="1">
      <c r="A134" s="29">
        <v>67</v>
      </c>
      <c r="B134" s="30" t="s">
        <v>87</v>
      </c>
      <c r="C134" s="29" t="s">
        <v>52</v>
      </c>
      <c r="D134" s="30" t="s">
        <v>88</v>
      </c>
      <c r="E134" s="30" t="s">
        <v>19</v>
      </c>
      <c r="F134" s="30" t="s">
        <v>292</v>
      </c>
      <c r="G134" s="30" t="s">
        <v>142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>
        <v>1</v>
      </c>
      <c r="O134" s="27">
        <f t="shared" si="4"/>
        <v>0</v>
      </c>
      <c r="P134" s="27"/>
      <c r="Q134" s="27"/>
      <c r="R134" s="31"/>
    </row>
    <row r="135" spans="1:18" ht="29.25" customHeight="1">
      <c r="A135" s="29"/>
      <c r="B135" s="30" t="s">
        <v>87</v>
      </c>
      <c r="C135" s="29" t="s">
        <v>52</v>
      </c>
      <c r="D135" s="30" t="s">
        <v>88</v>
      </c>
      <c r="E135" s="30" t="s">
        <v>19</v>
      </c>
      <c r="F135" s="30" t="s">
        <v>376</v>
      </c>
      <c r="G135" s="30" t="s">
        <v>122</v>
      </c>
      <c r="H135" s="25">
        <v>6</v>
      </c>
      <c r="I135" s="1"/>
      <c r="J135" s="26"/>
      <c r="K135" s="27">
        <f t="shared" si="3"/>
        <v>0</v>
      </c>
      <c r="L135" s="27"/>
      <c r="M135" s="27"/>
      <c r="N135" s="1">
        <v>1</v>
      </c>
      <c r="O135" s="27">
        <f t="shared" si="4"/>
        <v>440.5</v>
      </c>
      <c r="P135" s="27">
        <v>440.5</v>
      </c>
      <c r="Q135" s="27"/>
      <c r="R135" s="31"/>
    </row>
    <row r="136" spans="1:18" ht="26.25" customHeight="1">
      <c r="A136" s="24">
        <v>68</v>
      </c>
      <c r="B136" s="23" t="s">
        <v>89</v>
      </c>
      <c r="C136" s="24" t="s">
        <v>18</v>
      </c>
      <c r="D136" s="23"/>
      <c r="E136" s="23" t="s">
        <v>19</v>
      </c>
      <c r="F136" s="23" t="s">
        <v>428</v>
      </c>
      <c r="G136" s="23" t="s">
        <v>142</v>
      </c>
      <c r="H136" s="25">
        <v>2</v>
      </c>
      <c r="I136" s="1">
        <v>1</v>
      </c>
      <c r="J136" s="26">
        <v>1</v>
      </c>
      <c r="K136" s="27">
        <f t="shared" si="3"/>
        <v>0</v>
      </c>
      <c r="L136" s="27"/>
      <c r="M136" s="27"/>
      <c r="N136" s="1">
        <v>6</v>
      </c>
      <c r="O136" s="27">
        <f t="shared" si="4"/>
        <v>1217</v>
      </c>
      <c r="P136" s="27">
        <v>1217</v>
      </c>
      <c r="Q136" s="27"/>
      <c r="R136" s="31"/>
    </row>
    <row r="137" spans="1:18" ht="15" customHeight="1">
      <c r="A137" s="24"/>
      <c r="B137" s="23" t="s">
        <v>89</v>
      </c>
      <c r="C137" s="24" t="s">
        <v>18</v>
      </c>
      <c r="D137" s="23"/>
      <c r="E137" s="23" t="s">
        <v>19</v>
      </c>
      <c r="F137" s="23" t="s">
        <v>454</v>
      </c>
      <c r="G137" s="23" t="s">
        <v>122</v>
      </c>
      <c r="H137" s="25">
        <v>1</v>
      </c>
      <c r="I137" s="1"/>
      <c r="J137" s="26"/>
      <c r="K137" s="27">
        <f t="shared" si="3"/>
        <v>0</v>
      </c>
      <c r="L137" s="27"/>
      <c r="M137" s="27"/>
      <c r="N137" s="1">
        <v>1</v>
      </c>
      <c r="O137" s="27">
        <f t="shared" si="4"/>
        <v>0</v>
      </c>
      <c r="P137" s="27"/>
      <c r="Q137" s="27"/>
      <c r="R137" s="31"/>
    </row>
    <row r="138" spans="1:18" ht="15" customHeight="1">
      <c r="A138" s="24">
        <v>69</v>
      </c>
      <c r="B138" s="23" t="s">
        <v>90</v>
      </c>
      <c r="C138" s="24" t="s">
        <v>18</v>
      </c>
      <c r="D138" s="23"/>
      <c r="E138" s="23" t="s">
        <v>19</v>
      </c>
      <c r="F138" s="23" t="s">
        <v>429</v>
      </c>
      <c r="G138" s="23" t="s">
        <v>142</v>
      </c>
      <c r="H138" s="25">
        <v>5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31"/>
    </row>
    <row r="139" spans="1:18" ht="15" customHeight="1">
      <c r="A139" s="24">
        <v>70</v>
      </c>
      <c r="B139" s="23" t="s">
        <v>91</v>
      </c>
      <c r="C139" s="24" t="s">
        <v>18</v>
      </c>
      <c r="D139" s="23"/>
      <c r="E139" s="23" t="s">
        <v>92</v>
      </c>
      <c r="F139" s="23" t="s">
        <v>292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11</v>
      </c>
      <c r="O139" s="27">
        <f t="shared" si="4"/>
        <v>0</v>
      </c>
      <c r="P139" s="27"/>
      <c r="Q139" s="27"/>
      <c r="R139" s="31"/>
    </row>
    <row r="140" spans="1:18" ht="15" customHeight="1">
      <c r="A140" s="24"/>
      <c r="B140" s="23" t="s">
        <v>91</v>
      </c>
      <c r="C140" s="24" t="s">
        <v>18</v>
      </c>
      <c r="D140" s="23"/>
      <c r="E140" s="23" t="s">
        <v>92</v>
      </c>
      <c r="F140" s="23" t="s">
        <v>123</v>
      </c>
      <c r="G140" s="23" t="s">
        <v>136</v>
      </c>
      <c r="H140" s="25">
        <v>0</v>
      </c>
      <c r="I140" s="2"/>
      <c r="J140" s="26"/>
      <c r="K140" s="27">
        <f t="shared" si="3"/>
        <v>0</v>
      </c>
      <c r="L140" s="27"/>
      <c r="M140" s="27"/>
      <c r="N140" s="2">
        <v>3</v>
      </c>
      <c r="O140" s="27">
        <f t="shared" si="4"/>
        <v>0</v>
      </c>
      <c r="P140" s="27"/>
      <c r="Q140" s="27"/>
      <c r="R140" s="31"/>
    </row>
    <row r="141" spans="1:18" ht="15" customHeight="1">
      <c r="A141" s="24">
        <v>71</v>
      </c>
      <c r="B141" s="23" t="s">
        <v>93</v>
      </c>
      <c r="C141" s="24" t="s">
        <v>18</v>
      </c>
      <c r="D141" s="23"/>
      <c r="E141" s="23" t="s">
        <v>19</v>
      </c>
      <c r="F141" s="23" t="s">
        <v>123</v>
      </c>
      <c r="G141" s="23" t="s">
        <v>142</v>
      </c>
      <c r="H141" s="25">
        <v>0</v>
      </c>
      <c r="I141" s="2"/>
      <c r="J141" s="26"/>
      <c r="K141" s="27">
        <f t="shared" si="3"/>
        <v>0</v>
      </c>
      <c r="L141" s="27"/>
      <c r="M141" s="27"/>
      <c r="N141" s="2">
        <v>1</v>
      </c>
      <c r="O141" s="27">
        <f t="shared" si="4"/>
        <v>0</v>
      </c>
      <c r="P141" s="27"/>
      <c r="Q141" s="27"/>
      <c r="R141" s="31"/>
    </row>
    <row r="142" spans="1:18" ht="15" customHeight="1">
      <c r="A142" s="24"/>
      <c r="B142" s="23" t="s">
        <v>93</v>
      </c>
      <c r="C142" s="24" t="s">
        <v>18</v>
      </c>
      <c r="D142" s="23"/>
      <c r="E142" s="23" t="s">
        <v>19</v>
      </c>
      <c r="F142" s="23" t="s">
        <v>120</v>
      </c>
      <c r="G142" s="23" t="s">
        <v>131</v>
      </c>
      <c r="H142" s="25">
        <v>0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31"/>
    </row>
    <row r="143" spans="1:18" ht="15" customHeight="1">
      <c r="A143" s="24"/>
      <c r="B143" s="23" t="s">
        <v>93</v>
      </c>
      <c r="C143" s="24" t="s">
        <v>18</v>
      </c>
      <c r="D143" s="23"/>
      <c r="E143" s="23"/>
      <c r="F143" s="23" t="s">
        <v>268</v>
      </c>
      <c r="G143" s="23" t="s">
        <v>122</v>
      </c>
      <c r="H143" s="25">
        <v>5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31"/>
    </row>
    <row r="144" spans="1:18" ht="15" customHeight="1">
      <c r="A144" s="24">
        <v>72</v>
      </c>
      <c r="B144" s="23" t="s">
        <v>281</v>
      </c>
      <c r="C144" s="24" t="s">
        <v>18</v>
      </c>
      <c r="D144" s="23"/>
      <c r="E144" s="23" t="s">
        <v>19</v>
      </c>
      <c r="F144" s="23" t="s">
        <v>430</v>
      </c>
      <c r="G144" s="23" t="s">
        <v>142</v>
      </c>
      <c r="H144" s="25">
        <v>6</v>
      </c>
      <c r="I144" s="1">
        <v>4</v>
      </c>
      <c r="J144" s="26">
        <v>4</v>
      </c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31"/>
    </row>
    <row r="145" spans="1:18" ht="15" customHeight="1">
      <c r="A145" s="24"/>
      <c r="B145" s="23" t="s">
        <v>281</v>
      </c>
      <c r="C145" s="24" t="s">
        <v>18</v>
      </c>
      <c r="D145" s="23"/>
      <c r="E145" s="23" t="s">
        <v>19</v>
      </c>
      <c r="F145" s="23" t="s">
        <v>285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0</v>
      </c>
      <c r="P145" s="27"/>
      <c r="Q145" s="27"/>
      <c r="R145" s="31"/>
    </row>
    <row r="146" spans="1:18" ht="15" customHeight="1">
      <c r="A146" s="24"/>
      <c r="B146" s="23" t="s">
        <v>281</v>
      </c>
      <c r="C146" s="24" t="s">
        <v>18</v>
      </c>
      <c r="D146" s="23"/>
      <c r="E146" s="23" t="s">
        <v>19</v>
      </c>
      <c r="F146" s="23" t="s">
        <v>349</v>
      </c>
      <c r="G146" s="23" t="s">
        <v>122</v>
      </c>
      <c r="H146" s="25">
        <v>12</v>
      </c>
      <c r="I146" s="1"/>
      <c r="J146" s="26"/>
      <c r="K146" s="27">
        <f t="shared" si="3"/>
        <v>0</v>
      </c>
      <c r="L146" s="27"/>
      <c r="M146" s="27"/>
      <c r="N146" s="1">
        <v>2</v>
      </c>
      <c r="O146" s="27">
        <f t="shared" si="4"/>
        <v>1019.74</v>
      </c>
      <c r="P146" s="27">
        <v>1019.74</v>
      </c>
      <c r="Q146" s="27"/>
      <c r="R146" s="31"/>
    </row>
    <row r="147" spans="1:18" ht="15" customHeight="1">
      <c r="A147" s="24">
        <v>73</v>
      </c>
      <c r="B147" s="23" t="s">
        <v>94</v>
      </c>
      <c r="C147" s="24" t="s">
        <v>18</v>
      </c>
      <c r="D147" s="23"/>
      <c r="E147" s="23" t="s">
        <v>95</v>
      </c>
      <c r="F147" s="23" t="s">
        <v>431</v>
      </c>
      <c r="G147" s="23" t="s">
        <v>142</v>
      </c>
      <c r="H147" s="25">
        <v>15</v>
      </c>
      <c r="I147" s="1">
        <v>4</v>
      </c>
      <c r="J147" s="26">
        <v>6</v>
      </c>
      <c r="K147" s="27">
        <f t="shared" si="3"/>
        <v>0</v>
      </c>
      <c r="L147" s="27"/>
      <c r="M147" s="27"/>
      <c r="N147" s="1">
        <v>6</v>
      </c>
      <c r="O147" s="27">
        <f t="shared" si="4"/>
        <v>0</v>
      </c>
      <c r="P147" s="27"/>
      <c r="Q147" s="27"/>
      <c r="R147" s="31"/>
    </row>
    <row r="148" spans="1:18" ht="15" customHeight="1">
      <c r="A148" s="24"/>
      <c r="B148" s="23" t="s">
        <v>128</v>
      </c>
      <c r="C148" s="24" t="s">
        <v>18</v>
      </c>
      <c r="D148" s="23"/>
      <c r="E148" s="23" t="s">
        <v>95</v>
      </c>
      <c r="F148" s="23" t="s">
        <v>319</v>
      </c>
      <c r="G148" s="23" t="s">
        <v>124</v>
      </c>
      <c r="H148" s="25">
        <v>4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3942.68</v>
      </c>
      <c r="P148" s="27">
        <v>2753.33</v>
      </c>
      <c r="Q148" s="27">
        <v>1189.3499999999999</v>
      </c>
      <c r="R148" s="31"/>
    </row>
    <row r="149" spans="1:18" ht="15" customHeight="1">
      <c r="A149" s="24"/>
      <c r="B149" s="23" t="s">
        <v>128</v>
      </c>
      <c r="C149" s="24" t="s">
        <v>18</v>
      </c>
      <c r="D149" s="23"/>
      <c r="E149" s="23" t="s">
        <v>95</v>
      </c>
      <c r="F149" s="23" t="s">
        <v>123</v>
      </c>
      <c r="G149" s="23" t="s">
        <v>131</v>
      </c>
      <c r="H149" s="25">
        <v>0</v>
      </c>
      <c r="I149" s="2"/>
      <c r="J149" s="26"/>
      <c r="K149" s="27">
        <f t="shared" si="3"/>
        <v>0</v>
      </c>
      <c r="L149" s="27"/>
      <c r="M149" s="27"/>
      <c r="N149" s="2"/>
      <c r="O149" s="27">
        <f t="shared" si="4"/>
        <v>0</v>
      </c>
      <c r="P149" s="27"/>
      <c r="Q149" s="27"/>
      <c r="R149" s="31"/>
    </row>
    <row r="150" spans="1:18" ht="15" customHeight="1">
      <c r="A150" s="24">
        <v>74</v>
      </c>
      <c r="B150" s="23" t="s">
        <v>96</v>
      </c>
      <c r="C150" s="24" t="s">
        <v>18</v>
      </c>
      <c r="D150" s="23"/>
      <c r="E150" s="23" t="s">
        <v>19</v>
      </c>
      <c r="F150" s="23" t="s">
        <v>432</v>
      </c>
      <c r="G150" s="23" t="s">
        <v>142</v>
      </c>
      <c r="H150" s="25">
        <v>4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0</v>
      </c>
      <c r="P150" s="27"/>
      <c r="Q150" s="27"/>
      <c r="R150" s="31"/>
    </row>
    <row r="151" spans="1:18" ht="15" customHeight="1">
      <c r="A151" s="24"/>
      <c r="B151" s="23" t="s">
        <v>96</v>
      </c>
      <c r="C151" s="24" t="s">
        <v>18</v>
      </c>
      <c r="D151" s="23"/>
      <c r="E151" s="23" t="s">
        <v>19</v>
      </c>
      <c r="F151" s="23" t="s">
        <v>292</v>
      </c>
      <c r="G151" s="23" t="s">
        <v>131</v>
      </c>
      <c r="H151" s="25">
        <v>0</v>
      </c>
      <c r="I151" s="1"/>
      <c r="J151" s="26"/>
      <c r="K151" s="27">
        <f t="shared" si="3"/>
        <v>0</v>
      </c>
      <c r="L151" s="27"/>
      <c r="M151" s="27"/>
      <c r="N151" s="1">
        <v>1</v>
      </c>
      <c r="O151" s="27">
        <f t="shared" si="4"/>
        <v>0</v>
      </c>
      <c r="P151" s="27"/>
      <c r="Q151" s="27"/>
      <c r="R151" s="31"/>
    </row>
    <row r="152" spans="1:18" ht="15" customHeight="1">
      <c r="A152" s="24"/>
      <c r="B152" s="23" t="s">
        <v>96</v>
      </c>
      <c r="C152" s="24" t="s">
        <v>18</v>
      </c>
      <c r="D152" s="23"/>
      <c r="E152" s="23" t="s">
        <v>19</v>
      </c>
      <c r="F152" s="23" t="s">
        <v>447</v>
      </c>
      <c r="G152" s="23" t="s">
        <v>122</v>
      </c>
      <c r="H152" s="25">
        <v>5</v>
      </c>
      <c r="I152" s="1"/>
      <c r="J152" s="26"/>
      <c r="K152" s="27">
        <f t="shared" si="3"/>
        <v>0</v>
      </c>
      <c r="L152" s="27"/>
      <c r="M152" s="27"/>
      <c r="N152" s="1">
        <v>2</v>
      </c>
      <c r="O152" s="27">
        <f t="shared" si="4"/>
        <v>0</v>
      </c>
      <c r="P152" s="27"/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2" t="s">
        <v>19</v>
      </c>
      <c r="F153" s="23" t="s">
        <v>367</v>
      </c>
      <c r="G153" s="22" t="s">
        <v>136</v>
      </c>
      <c r="H153" s="45">
        <v>4</v>
      </c>
      <c r="I153" s="1"/>
      <c r="J153" s="26"/>
      <c r="K153" s="27">
        <f t="shared" ref="K153:K199" si="6">L153+M153</f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>
        <v>75</v>
      </c>
      <c r="B154" s="23" t="s">
        <v>97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3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31"/>
    </row>
    <row r="155" spans="1:18" ht="15" customHeight="1">
      <c r="A155" s="24">
        <v>76</v>
      </c>
      <c r="B155" s="23" t="s">
        <v>98</v>
      </c>
      <c r="C155" s="24" t="s">
        <v>18</v>
      </c>
      <c r="D155" s="23"/>
      <c r="E155" s="23" t="s">
        <v>19</v>
      </c>
      <c r="F155" s="23" t="s">
        <v>433</v>
      </c>
      <c r="G155" s="23" t="s">
        <v>142</v>
      </c>
      <c r="H155" s="25">
        <v>8</v>
      </c>
      <c r="I155" s="1">
        <v>6</v>
      </c>
      <c r="J155" s="26">
        <v>7</v>
      </c>
      <c r="K155" s="27">
        <f t="shared" si="6"/>
        <v>0</v>
      </c>
      <c r="L155" s="27"/>
      <c r="M155" s="27"/>
      <c r="N155" s="1">
        <v>6</v>
      </c>
      <c r="O155" s="27">
        <f t="shared" si="4"/>
        <v>2112.7600000000002</v>
      </c>
      <c r="P155" s="27">
        <f>887.45+1225.31</f>
        <v>2112.7600000000002</v>
      </c>
      <c r="Q155" s="27"/>
      <c r="R155" s="31"/>
    </row>
    <row r="156" spans="1:18" ht="15" customHeight="1">
      <c r="A156" s="24">
        <v>77</v>
      </c>
      <c r="B156" s="23" t="s">
        <v>99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0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31"/>
    </row>
    <row r="157" spans="1:18" ht="24.6" customHeight="1">
      <c r="A157" s="29">
        <v>78</v>
      </c>
      <c r="B157" s="30" t="s">
        <v>100</v>
      </c>
      <c r="C157" s="29" t="s">
        <v>30</v>
      </c>
      <c r="D157" s="30" t="s">
        <v>101</v>
      </c>
      <c r="E157" s="30" t="s">
        <v>19</v>
      </c>
      <c r="F157" s="23" t="s">
        <v>434</v>
      </c>
      <c r="G157" s="30" t="s">
        <v>142</v>
      </c>
      <c r="H157" s="25">
        <v>2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31"/>
    </row>
    <row r="158" spans="1:18" ht="29.25" customHeight="1">
      <c r="A158" s="29"/>
      <c r="B158" s="30" t="s">
        <v>100</v>
      </c>
      <c r="C158" s="29" t="s">
        <v>30</v>
      </c>
      <c r="D158" s="30" t="s">
        <v>101</v>
      </c>
      <c r="E158" s="30" t="s">
        <v>19</v>
      </c>
      <c r="F158" s="30" t="s">
        <v>292</v>
      </c>
      <c r="G158" s="30" t="s">
        <v>122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31"/>
    </row>
    <row r="159" spans="1:18" ht="26.25" customHeight="1">
      <c r="A159" s="46">
        <v>79</v>
      </c>
      <c r="B159" s="60" t="s">
        <v>144</v>
      </c>
      <c r="C159" s="46" t="s">
        <v>18</v>
      </c>
      <c r="D159" s="60"/>
      <c r="E159" s="60" t="s">
        <v>104</v>
      </c>
      <c r="F159" s="60" t="s">
        <v>120</v>
      </c>
      <c r="G159" s="60" t="s">
        <v>142</v>
      </c>
      <c r="H159" s="61">
        <v>0</v>
      </c>
      <c r="I159" s="1"/>
      <c r="J159" s="26"/>
      <c r="K159" s="27">
        <f t="shared" si="6"/>
        <v>0</v>
      </c>
      <c r="L159" s="63"/>
      <c r="M159" s="63"/>
      <c r="N159" s="1"/>
      <c r="O159" s="63">
        <f t="shared" si="4"/>
        <v>0</v>
      </c>
      <c r="P159" s="63"/>
      <c r="Q159" s="63"/>
      <c r="R159" s="31"/>
    </row>
    <row r="160" spans="1:18" ht="15.75" customHeight="1">
      <c r="A160" s="24">
        <v>80</v>
      </c>
      <c r="B160" s="23" t="s">
        <v>102</v>
      </c>
      <c r="C160" s="24" t="s">
        <v>18</v>
      </c>
      <c r="D160" s="23"/>
      <c r="E160" s="23" t="s">
        <v>19</v>
      </c>
      <c r="F160" s="60" t="s">
        <v>120</v>
      </c>
      <c r="G160" s="23" t="s">
        <v>142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15" customHeight="1">
      <c r="A161" s="24">
        <v>81</v>
      </c>
      <c r="B161" s="23" t="s">
        <v>103</v>
      </c>
      <c r="C161" s="24" t="s">
        <v>18</v>
      </c>
      <c r="D161" s="23"/>
      <c r="E161" s="23" t="s">
        <v>19</v>
      </c>
      <c r="F161" s="60" t="s">
        <v>120</v>
      </c>
      <c r="G161" s="23" t="s">
        <v>142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>
        <v>1</v>
      </c>
      <c r="O161" s="27">
        <f t="shared" si="4"/>
        <v>9916.84</v>
      </c>
      <c r="P161" s="27">
        <f>1061.97+8854.87</f>
        <v>9916.84</v>
      </c>
      <c r="Q161" s="27"/>
      <c r="R161" s="31"/>
    </row>
    <row r="162" spans="1:18" ht="15" customHeight="1">
      <c r="A162" s="24"/>
      <c r="B162" s="23" t="s">
        <v>103</v>
      </c>
      <c r="C162" s="24" t="s">
        <v>18</v>
      </c>
      <c r="D162" s="23"/>
      <c r="E162" s="23" t="s">
        <v>19</v>
      </c>
      <c r="F162" s="23" t="s">
        <v>298</v>
      </c>
      <c r="G162" s="23" t="s">
        <v>122</v>
      </c>
      <c r="H162" s="25">
        <v>5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302</v>
      </c>
      <c r="C163" s="24" t="s">
        <v>18</v>
      </c>
      <c r="D163" s="23"/>
      <c r="E163" s="23" t="s">
        <v>19</v>
      </c>
      <c r="F163" s="23" t="s">
        <v>348</v>
      </c>
      <c r="G163" s="23" t="s">
        <v>122</v>
      </c>
      <c r="H163" s="25">
        <v>6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31"/>
    </row>
    <row r="164" spans="1:18" ht="15" customHeight="1">
      <c r="A164" s="24">
        <v>83</v>
      </c>
      <c r="B164" s="23" t="s">
        <v>328</v>
      </c>
      <c r="C164" s="24" t="s">
        <v>18</v>
      </c>
      <c r="D164" s="23"/>
      <c r="E164" s="23" t="s">
        <v>19</v>
      </c>
      <c r="F164" s="23" t="s">
        <v>347</v>
      </c>
      <c r="G164" s="23" t="s">
        <v>122</v>
      </c>
      <c r="H164" s="25">
        <v>5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31"/>
    </row>
    <row r="165" spans="1:18" ht="15" customHeight="1">
      <c r="A165" s="24">
        <v>84</v>
      </c>
      <c r="B165" s="23" t="s">
        <v>314</v>
      </c>
      <c r="C165" s="24" t="s">
        <v>18</v>
      </c>
      <c r="D165" s="23"/>
      <c r="E165" s="23" t="s">
        <v>19</v>
      </c>
      <c r="F165" s="23" t="s">
        <v>435</v>
      </c>
      <c r="G165" s="23" t="s">
        <v>142</v>
      </c>
      <c r="H165" s="25">
        <v>1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31"/>
    </row>
    <row r="166" spans="1:18" ht="15" customHeight="1">
      <c r="A166" s="24"/>
      <c r="B166" s="23" t="s">
        <v>314</v>
      </c>
      <c r="C166" s="24" t="s">
        <v>18</v>
      </c>
      <c r="D166" s="23"/>
      <c r="E166" s="23" t="s">
        <v>19</v>
      </c>
      <c r="F166" s="23" t="s">
        <v>268</v>
      </c>
      <c r="G166" s="23" t="s">
        <v>136</v>
      </c>
      <c r="H166" s="25">
        <v>2</v>
      </c>
      <c r="I166" s="1"/>
      <c r="J166" s="26"/>
      <c r="K166" s="27"/>
      <c r="L166" s="27"/>
      <c r="M166" s="27"/>
      <c r="N166" s="1"/>
      <c r="O166" s="27"/>
      <c r="P166" s="27"/>
      <c r="Q166" s="27"/>
      <c r="R166" s="31"/>
    </row>
    <row r="167" spans="1:18" ht="15" customHeight="1">
      <c r="A167" s="24">
        <v>85</v>
      </c>
      <c r="B167" s="23" t="s">
        <v>330</v>
      </c>
      <c r="C167" s="24" t="s">
        <v>18</v>
      </c>
      <c r="D167" s="23"/>
      <c r="E167" s="23" t="s">
        <v>104</v>
      </c>
      <c r="F167" s="23" t="s">
        <v>341</v>
      </c>
      <c r="G167" s="23" t="s">
        <v>131</v>
      </c>
      <c r="H167" s="25">
        <v>6</v>
      </c>
      <c r="I167" s="1"/>
      <c r="J167" s="26"/>
      <c r="K167" s="27"/>
      <c r="L167" s="27"/>
      <c r="M167" s="27"/>
      <c r="N167" s="1"/>
      <c r="O167" s="27"/>
      <c r="P167" s="27"/>
      <c r="Q167" s="27"/>
      <c r="R167" s="31"/>
    </row>
    <row r="168" spans="1:18" ht="15" customHeight="1">
      <c r="A168" s="24"/>
      <c r="B168" s="23" t="s">
        <v>330</v>
      </c>
      <c r="C168" s="24" t="s">
        <v>18</v>
      </c>
      <c r="D168" s="23"/>
      <c r="E168" s="23" t="s">
        <v>19</v>
      </c>
      <c r="F168" s="23" t="s">
        <v>346</v>
      </c>
      <c r="G168" s="23" t="s">
        <v>122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24.75" customHeight="1">
      <c r="A169" s="29">
        <v>86</v>
      </c>
      <c r="B169" s="30" t="s">
        <v>105</v>
      </c>
      <c r="C169" s="29" t="s">
        <v>30</v>
      </c>
      <c r="D169" s="30" t="s">
        <v>106</v>
      </c>
      <c r="E169" s="30" t="s">
        <v>19</v>
      </c>
      <c r="F169" s="30" t="s">
        <v>436</v>
      </c>
      <c r="G169" s="30" t="s">
        <v>142</v>
      </c>
      <c r="H169" s="25">
        <v>9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7706.45</v>
      </c>
      <c r="P169" s="27">
        <f>4712.69+2993.76</f>
        <v>7706.45</v>
      </c>
      <c r="Q169" s="27"/>
      <c r="R169" s="31"/>
    </row>
    <row r="170" spans="1:18" ht="24.75" customHeight="1">
      <c r="A170" s="29">
        <v>87</v>
      </c>
      <c r="B170" s="30" t="s">
        <v>315</v>
      </c>
      <c r="C170" s="29" t="s">
        <v>18</v>
      </c>
      <c r="D170" s="30"/>
      <c r="E170" s="30" t="s">
        <v>19</v>
      </c>
      <c r="F170" s="30" t="s">
        <v>437</v>
      </c>
      <c r="G170" s="30" t="s">
        <v>142</v>
      </c>
      <c r="H170" s="25">
        <v>3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24.75" customHeight="1">
      <c r="A171" s="29"/>
      <c r="B171" s="30" t="s">
        <v>315</v>
      </c>
      <c r="C171" s="29" t="s">
        <v>18</v>
      </c>
      <c r="D171" s="30"/>
      <c r="E171" s="30" t="s">
        <v>322</v>
      </c>
      <c r="F171" s="30" t="s">
        <v>323</v>
      </c>
      <c r="G171" s="30" t="s">
        <v>124</v>
      </c>
      <c r="H171" s="25">
        <v>1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18" ht="38.450000000000003" customHeight="1">
      <c r="A172" s="29">
        <v>88</v>
      </c>
      <c r="B172" s="30" t="s">
        <v>265</v>
      </c>
      <c r="C172" s="29" t="s">
        <v>18</v>
      </c>
      <c r="D172" s="30"/>
      <c r="E172" s="30" t="s">
        <v>19</v>
      </c>
      <c r="F172" s="30" t="s">
        <v>123</v>
      </c>
      <c r="G172" s="30" t="s">
        <v>142</v>
      </c>
      <c r="H172" s="25">
        <v>0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38.450000000000003" customHeight="1">
      <c r="A173" s="24">
        <v>89</v>
      </c>
      <c r="B173" s="23" t="s">
        <v>107</v>
      </c>
      <c r="C173" s="24" t="s">
        <v>18</v>
      </c>
      <c r="D173" s="23"/>
      <c r="E173" s="23" t="s">
        <v>41</v>
      </c>
      <c r="F173" s="30" t="s">
        <v>438</v>
      </c>
      <c r="G173" s="23" t="s">
        <v>142</v>
      </c>
      <c r="H173" s="25">
        <v>2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1221.57</v>
      </c>
      <c r="P173" s="27">
        <v>1221.57</v>
      </c>
      <c r="Q173" s="27"/>
      <c r="R173" s="31"/>
    </row>
    <row r="174" spans="1:18" ht="15.75" customHeight="1">
      <c r="A174" s="24"/>
      <c r="B174" s="23" t="s">
        <v>107</v>
      </c>
      <c r="C174" s="24" t="s">
        <v>18</v>
      </c>
      <c r="D174" s="23"/>
      <c r="E174" s="23" t="s">
        <v>41</v>
      </c>
      <c r="F174" s="23" t="s">
        <v>295</v>
      </c>
      <c r="G174" s="23" t="s">
        <v>136</v>
      </c>
      <c r="H174" s="25">
        <v>9</v>
      </c>
      <c r="I174" s="2">
        <v>2</v>
      </c>
      <c r="J174" s="26">
        <v>2</v>
      </c>
      <c r="K174" s="27">
        <f t="shared" si="6"/>
        <v>0</v>
      </c>
      <c r="L174" s="27"/>
      <c r="M174" s="27"/>
      <c r="N174" s="2">
        <v>14</v>
      </c>
      <c r="O174" s="27">
        <f t="shared" si="4"/>
        <v>0</v>
      </c>
      <c r="P174" s="27"/>
      <c r="Q174" s="27"/>
      <c r="R174" s="31"/>
    </row>
    <row r="175" spans="1:18" ht="16.5" customHeight="1">
      <c r="A175" s="24">
        <v>90</v>
      </c>
      <c r="B175" s="23" t="s">
        <v>108</v>
      </c>
      <c r="C175" s="24" t="s">
        <v>18</v>
      </c>
      <c r="D175" s="23"/>
      <c r="E175" s="23" t="s">
        <v>19</v>
      </c>
      <c r="F175" s="23" t="s">
        <v>439</v>
      </c>
      <c r="G175" s="23" t="s">
        <v>142</v>
      </c>
      <c r="H175" s="25">
        <v>17</v>
      </c>
      <c r="I175" s="1">
        <v>14</v>
      </c>
      <c r="J175" s="26">
        <v>14</v>
      </c>
      <c r="K175" s="27">
        <f t="shared" si="6"/>
        <v>0</v>
      </c>
      <c r="L175" s="27"/>
      <c r="M175" s="27"/>
      <c r="N175" s="1">
        <v>4</v>
      </c>
      <c r="O175" s="27">
        <f t="shared" si="4"/>
        <v>5327.91</v>
      </c>
      <c r="P175" s="27">
        <v>5327.91</v>
      </c>
      <c r="Q175" s="27"/>
      <c r="R175" s="31"/>
    </row>
    <row r="176" spans="1:18" ht="16.5" customHeight="1">
      <c r="A176" s="24"/>
      <c r="B176" s="23" t="s">
        <v>108</v>
      </c>
      <c r="C176" s="24" t="s">
        <v>18</v>
      </c>
      <c r="D176" s="23"/>
      <c r="E176" s="23" t="s">
        <v>19</v>
      </c>
      <c r="F176" s="23" t="s">
        <v>345</v>
      </c>
      <c r="G176" s="23" t="s">
        <v>122</v>
      </c>
      <c r="H176" s="25">
        <v>3</v>
      </c>
      <c r="I176" s="1"/>
      <c r="J176" s="26"/>
      <c r="K176" s="27">
        <f t="shared" si="6"/>
        <v>0</v>
      </c>
      <c r="L176" s="27"/>
      <c r="M176" s="27"/>
      <c r="N176" s="1">
        <v>3</v>
      </c>
      <c r="O176" s="27">
        <f t="shared" si="4"/>
        <v>0</v>
      </c>
      <c r="P176" s="27"/>
      <c r="Q176" s="27"/>
      <c r="R176" s="31"/>
    </row>
    <row r="177" spans="1:18" ht="16.5" customHeight="1">
      <c r="A177" s="24">
        <v>91</v>
      </c>
      <c r="B177" s="23" t="s">
        <v>146</v>
      </c>
      <c r="C177" s="24" t="s">
        <v>18</v>
      </c>
      <c r="D177" s="23"/>
      <c r="E177" s="23" t="s">
        <v>104</v>
      </c>
      <c r="F177" s="23" t="s">
        <v>291</v>
      </c>
      <c r="G177" s="23" t="s">
        <v>142</v>
      </c>
      <c r="H177" s="25">
        <v>0</v>
      </c>
      <c r="I177" s="1"/>
      <c r="J177" s="26"/>
      <c r="K177" s="27">
        <f t="shared" si="6"/>
        <v>0</v>
      </c>
      <c r="L177" s="27"/>
      <c r="M177" s="27"/>
      <c r="N177" s="1">
        <v>2</v>
      </c>
      <c r="O177" s="27">
        <f t="shared" si="4"/>
        <v>2891.29</v>
      </c>
      <c r="P177" s="27">
        <v>2891.29</v>
      </c>
      <c r="Q177" s="27"/>
      <c r="R177" s="31"/>
    </row>
    <row r="178" spans="1:18" ht="23.45" customHeight="1">
      <c r="A178" s="29">
        <v>92</v>
      </c>
      <c r="B178" s="30" t="s">
        <v>109</v>
      </c>
      <c r="C178" s="29" t="s">
        <v>52</v>
      </c>
      <c r="D178" s="30" t="s">
        <v>110</v>
      </c>
      <c r="E178" s="30" t="s">
        <v>19</v>
      </c>
      <c r="F178" s="30" t="s">
        <v>440</v>
      </c>
      <c r="G178" s="30" t="s">
        <v>142</v>
      </c>
      <c r="H178" s="25">
        <v>23</v>
      </c>
      <c r="I178" s="1">
        <v>17</v>
      </c>
      <c r="J178" s="26">
        <v>17</v>
      </c>
      <c r="K178" s="27">
        <f t="shared" si="6"/>
        <v>0</v>
      </c>
      <c r="L178" s="27"/>
      <c r="M178" s="27"/>
      <c r="N178" s="1">
        <v>14</v>
      </c>
      <c r="O178" s="27">
        <f t="shared" si="4"/>
        <v>9265</v>
      </c>
      <c r="P178" s="27">
        <f>8759.8+505.2</f>
        <v>9265</v>
      </c>
      <c r="Q178" s="27"/>
      <c r="R178" s="31"/>
    </row>
    <row r="179" spans="1:18" ht="27" customHeight="1">
      <c r="A179" s="29"/>
      <c r="B179" s="30" t="s">
        <v>109</v>
      </c>
      <c r="C179" s="29" t="s">
        <v>52</v>
      </c>
      <c r="D179" s="30" t="s">
        <v>110</v>
      </c>
      <c r="E179" s="30" t="s">
        <v>19</v>
      </c>
      <c r="F179" s="30" t="s">
        <v>344</v>
      </c>
      <c r="G179" s="30" t="s">
        <v>122</v>
      </c>
      <c r="H179" s="25">
        <v>12</v>
      </c>
      <c r="I179" s="1"/>
      <c r="J179" s="26"/>
      <c r="K179" s="27">
        <f t="shared" si="6"/>
        <v>0</v>
      </c>
      <c r="L179" s="27"/>
      <c r="M179" s="27"/>
      <c r="N179" s="1">
        <v>12</v>
      </c>
      <c r="O179" s="27">
        <f t="shared" si="4"/>
        <v>1762</v>
      </c>
      <c r="P179" s="27">
        <v>1762</v>
      </c>
      <c r="Q179" s="27"/>
      <c r="R179" s="31"/>
    </row>
    <row r="180" spans="1:18" ht="27.75" customHeight="1">
      <c r="A180" s="24">
        <v>93</v>
      </c>
      <c r="B180" s="23" t="s">
        <v>111</v>
      </c>
      <c r="C180" s="24" t="s">
        <v>18</v>
      </c>
      <c r="D180" s="23"/>
      <c r="E180" s="23" t="s">
        <v>112</v>
      </c>
      <c r="F180" s="23" t="s">
        <v>441</v>
      </c>
      <c r="G180" s="23" t="s">
        <v>142</v>
      </c>
      <c r="H180" s="25">
        <v>5</v>
      </c>
      <c r="I180" s="1"/>
      <c r="J180" s="26"/>
      <c r="K180" s="27">
        <f t="shared" si="6"/>
        <v>0</v>
      </c>
      <c r="L180" s="27"/>
      <c r="M180" s="27"/>
      <c r="N180" s="1"/>
      <c r="O180" s="27">
        <f t="shared" si="4"/>
        <v>8928</v>
      </c>
      <c r="P180" s="27">
        <v>8928</v>
      </c>
      <c r="Q180" s="27"/>
      <c r="R180" s="31"/>
    </row>
    <row r="181" spans="1:18" ht="16.5" customHeight="1">
      <c r="A181" s="24"/>
      <c r="B181" s="23" t="s">
        <v>111</v>
      </c>
      <c r="C181" s="24" t="s">
        <v>18</v>
      </c>
      <c r="D181" s="23"/>
      <c r="E181" s="23" t="s">
        <v>112</v>
      </c>
      <c r="F181" s="23" t="s">
        <v>123</v>
      </c>
      <c r="G181" s="23" t="s">
        <v>136</v>
      </c>
      <c r="H181" s="25">
        <v>5</v>
      </c>
      <c r="I181" s="2"/>
      <c r="J181" s="26"/>
      <c r="K181" s="27">
        <f t="shared" si="6"/>
        <v>0</v>
      </c>
      <c r="L181" s="27"/>
      <c r="M181" s="27"/>
      <c r="N181" s="2">
        <v>2</v>
      </c>
      <c r="O181" s="27">
        <f t="shared" si="4"/>
        <v>0</v>
      </c>
      <c r="P181" s="27"/>
      <c r="Q181" s="27"/>
      <c r="R181" s="31"/>
    </row>
    <row r="182" spans="1:18" ht="16.5" customHeight="1">
      <c r="A182" s="24">
        <v>94</v>
      </c>
      <c r="B182" s="23" t="s">
        <v>113</v>
      </c>
      <c r="C182" s="24" t="s">
        <v>18</v>
      </c>
      <c r="D182" s="23"/>
      <c r="E182" s="23" t="s">
        <v>19</v>
      </c>
      <c r="F182" s="23" t="s">
        <v>120</v>
      </c>
      <c r="G182" s="23" t="s">
        <v>142</v>
      </c>
      <c r="H182" s="25">
        <v>0</v>
      </c>
      <c r="I182" s="1"/>
      <c r="J182" s="26"/>
      <c r="K182" s="27">
        <f t="shared" si="6"/>
        <v>0</v>
      </c>
      <c r="L182" s="27"/>
      <c r="M182" s="27"/>
      <c r="N182" s="1">
        <v>1</v>
      </c>
      <c r="O182" s="27">
        <f t="shared" si="4"/>
        <v>0</v>
      </c>
      <c r="P182" s="27"/>
      <c r="Q182" s="27"/>
      <c r="R182" s="31"/>
    </row>
    <row r="183" spans="1:18" ht="18.75" customHeight="1">
      <c r="A183" s="24"/>
      <c r="B183" s="23" t="s">
        <v>113</v>
      </c>
      <c r="C183" s="24" t="s">
        <v>18</v>
      </c>
      <c r="D183" s="23"/>
      <c r="E183" s="23" t="s">
        <v>19</v>
      </c>
      <c r="F183" s="23" t="s">
        <v>292</v>
      </c>
      <c r="G183" s="23" t="s">
        <v>122</v>
      </c>
      <c r="H183" s="25">
        <v>10</v>
      </c>
      <c r="I183" s="1"/>
      <c r="J183" s="26"/>
      <c r="K183" s="27">
        <f t="shared" si="6"/>
        <v>0</v>
      </c>
      <c r="L183" s="27"/>
      <c r="M183" s="27"/>
      <c r="N183" s="1">
        <v>10</v>
      </c>
      <c r="O183" s="27">
        <f t="shared" si="4"/>
        <v>0</v>
      </c>
      <c r="P183" s="27"/>
      <c r="Q183" s="27"/>
      <c r="R183" s="31"/>
    </row>
    <row r="184" spans="1:18" ht="20.25" customHeight="1">
      <c r="A184" s="24">
        <v>95</v>
      </c>
      <c r="B184" s="23" t="s">
        <v>114</v>
      </c>
      <c r="C184" s="24" t="s">
        <v>18</v>
      </c>
      <c r="D184" s="23"/>
      <c r="E184" s="23" t="s">
        <v>41</v>
      </c>
      <c r="F184" s="23" t="s">
        <v>443</v>
      </c>
      <c r="G184" s="23" t="s">
        <v>142</v>
      </c>
      <c r="H184" s="25">
        <v>3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7826.67</v>
      </c>
      <c r="P184" s="27">
        <v>7826.67</v>
      </c>
      <c r="Q184" s="27"/>
      <c r="R184" s="31"/>
    </row>
    <row r="185" spans="1:18" ht="16.899999999999999" customHeight="1">
      <c r="A185" s="24"/>
      <c r="B185" s="23" t="s">
        <v>141</v>
      </c>
      <c r="C185" s="24" t="s">
        <v>18</v>
      </c>
      <c r="D185" s="23"/>
      <c r="E185" s="23" t="s">
        <v>41</v>
      </c>
      <c r="F185" s="23" t="s">
        <v>368</v>
      </c>
      <c r="G185" s="23" t="s">
        <v>136</v>
      </c>
      <c r="H185" s="25">
        <v>5</v>
      </c>
      <c r="I185" s="2"/>
      <c r="J185" s="26"/>
      <c r="K185" s="27">
        <f t="shared" si="6"/>
        <v>0</v>
      </c>
      <c r="L185" s="27"/>
      <c r="M185" s="27"/>
      <c r="N185" s="2">
        <v>4</v>
      </c>
      <c r="O185" s="27">
        <f t="shared" si="4"/>
        <v>0</v>
      </c>
      <c r="P185" s="27"/>
      <c r="Q185" s="27"/>
      <c r="R185" s="31"/>
    </row>
    <row r="186" spans="1:18" ht="16.899999999999999" customHeight="1">
      <c r="A186" s="24">
        <v>96</v>
      </c>
      <c r="B186" s="23" t="s">
        <v>309</v>
      </c>
      <c r="C186" s="24" t="s">
        <v>18</v>
      </c>
      <c r="D186" s="23"/>
      <c r="E186" s="23" t="s">
        <v>19</v>
      </c>
      <c r="F186" s="23" t="s">
        <v>442</v>
      </c>
      <c r="G186" s="23" t="s">
        <v>142</v>
      </c>
      <c r="H186" s="25">
        <v>5</v>
      </c>
      <c r="I186" s="2">
        <v>4</v>
      </c>
      <c r="J186" s="26">
        <v>4</v>
      </c>
      <c r="K186" s="27"/>
      <c r="L186" s="27"/>
      <c r="M186" s="27"/>
      <c r="N186" s="2"/>
      <c r="O186" s="27"/>
      <c r="P186" s="27"/>
      <c r="Q186" s="27"/>
      <c r="R186" s="31"/>
    </row>
    <row r="187" spans="1:18" ht="16.899999999999999" customHeight="1">
      <c r="A187" s="24"/>
      <c r="B187" s="23" t="s">
        <v>309</v>
      </c>
      <c r="C187" s="24" t="s">
        <v>18</v>
      </c>
      <c r="D187" s="23"/>
      <c r="E187" s="23" t="s">
        <v>19</v>
      </c>
      <c r="F187" s="23" t="s">
        <v>343</v>
      </c>
      <c r="G187" s="23" t="s">
        <v>122</v>
      </c>
      <c r="H187" s="25">
        <v>5</v>
      </c>
      <c r="I187" s="2">
        <v>1</v>
      </c>
      <c r="J187" s="26">
        <v>1</v>
      </c>
      <c r="K187" s="27">
        <f t="shared" si="6"/>
        <v>0</v>
      </c>
      <c r="L187" s="27"/>
      <c r="M187" s="27"/>
      <c r="N187" s="2"/>
      <c r="O187" s="27">
        <f t="shared" si="4"/>
        <v>0</v>
      </c>
      <c r="P187" s="27"/>
      <c r="Q187" s="27"/>
      <c r="R187" s="31"/>
    </row>
    <row r="188" spans="1:18" ht="16.899999999999999" customHeight="1">
      <c r="A188" s="24"/>
      <c r="B188" s="23" t="s">
        <v>309</v>
      </c>
      <c r="C188" s="24" t="s">
        <v>18</v>
      </c>
      <c r="D188" s="23"/>
      <c r="E188" s="23" t="s">
        <v>19</v>
      </c>
      <c r="F188" s="23" t="s">
        <v>324</v>
      </c>
      <c r="G188" s="23" t="s">
        <v>124</v>
      </c>
      <c r="H188" s="25">
        <v>0</v>
      </c>
      <c r="I188" s="2"/>
      <c r="J188" s="26"/>
      <c r="K188" s="27">
        <f t="shared" si="6"/>
        <v>0</v>
      </c>
      <c r="L188" s="27"/>
      <c r="M188" s="27"/>
      <c r="N188" s="2"/>
      <c r="O188" s="27">
        <f t="shared" si="4"/>
        <v>0</v>
      </c>
      <c r="P188" s="27"/>
      <c r="Q188" s="27"/>
      <c r="R188" s="31"/>
    </row>
    <row r="189" spans="1:18" ht="24.6" customHeight="1">
      <c r="A189" s="29">
        <v>97</v>
      </c>
      <c r="B189" s="30" t="s">
        <v>115</v>
      </c>
      <c r="C189" s="29" t="s">
        <v>52</v>
      </c>
      <c r="D189" s="30" t="s">
        <v>110</v>
      </c>
      <c r="E189" s="30" t="s">
        <v>19</v>
      </c>
      <c r="F189" s="30"/>
      <c r="G189" s="30" t="s">
        <v>142</v>
      </c>
      <c r="H189" s="25">
        <v>0</v>
      </c>
      <c r="I189" s="1"/>
      <c r="J189" s="26"/>
      <c r="K189" s="27">
        <f t="shared" si="6"/>
        <v>0</v>
      </c>
      <c r="L189" s="27"/>
      <c r="M189" s="27"/>
      <c r="N189" s="1">
        <v>1</v>
      </c>
      <c r="O189" s="27">
        <f t="shared" ref="O189:O193" si="7">P189+Q189</f>
        <v>0</v>
      </c>
      <c r="P189" s="27"/>
      <c r="Q189" s="27"/>
      <c r="R189" s="31"/>
    </row>
    <row r="190" spans="1:18" ht="32.25" customHeight="1">
      <c r="A190" s="29"/>
      <c r="B190" s="30" t="s">
        <v>115</v>
      </c>
      <c r="C190" s="29" t="s">
        <v>52</v>
      </c>
      <c r="D190" s="30" t="s">
        <v>110</v>
      </c>
      <c r="E190" s="30" t="s">
        <v>19</v>
      </c>
      <c r="F190" s="30" t="s">
        <v>292</v>
      </c>
      <c r="G190" s="30" t="s">
        <v>122</v>
      </c>
      <c r="H190" s="25">
        <v>0</v>
      </c>
      <c r="I190" s="1"/>
      <c r="J190" s="44"/>
      <c r="K190" s="27">
        <f t="shared" si="6"/>
        <v>0</v>
      </c>
      <c r="L190" s="27"/>
      <c r="M190" s="27"/>
      <c r="N190" s="1">
        <v>1</v>
      </c>
      <c r="O190" s="27">
        <f t="shared" si="7"/>
        <v>0</v>
      </c>
      <c r="P190" s="27"/>
      <c r="Q190" s="27"/>
      <c r="R190" s="31"/>
    </row>
    <row r="191" spans="1:18" ht="34.9" customHeight="1">
      <c r="A191" s="29">
        <v>98</v>
      </c>
      <c r="B191" s="30" t="s">
        <v>116</v>
      </c>
      <c r="C191" s="29" t="s">
        <v>52</v>
      </c>
      <c r="D191" s="30" t="s">
        <v>117</v>
      </c>
      <c r="E191" s="30" t="s">
        <v>19</v>
      </c>
      <c r="F191" s="30" t="s">
        <v>444</v>
      </c>
      <c r="G191" s="30" t="s">
        <v>142</v>
      </c>
      <c r="H191" s="25">
        <v>19</v>
      </c>
      <c r="I191" s="1">
        <v>7</v>
      </c>
      <c r="J191" s="44">
        <v>7</v>
      </c>
      <c r="K191" s="27">
        <f t="shared" si="6"/>
        <v>0</v>
      </c>
      <c r="L191" s="27"/>
      <c r="M191" s="27"/>
      <c r="N191" s="1">
        <v>3</v>
      </c>
      <c r="O191" s="27">
        <f t="shared" si="7"/>
        <v>0</v>
      </c>
      <c r="P191" s="27"/>
      <c r="Q191" s="27"/>
      <c r="R191" s="31"/>
    </row>
    <row r="192" spans="1:18" ht="28.5" customHeight="1">
      <c r="A192" s="29">
        <v>99</v>
      </c>
      <c r="B192" s="30" t="s">
        <v>209</v>
      </c>
      <c r="C192" s="29" t="s">
        <v>18</v>
      </c>
      <c r="D192" s="30"/>
      <c r="E192" s="30" t="s">
        <v>19</v>
      </c>
      <c r="F192" s="30" t="s">
        <v>123</v>
      </c>
      <c r="G192" s="30" t="s">
        <v>142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/>
      <c r="O192" s="27">
        <f t="shared" si="7"/>
        <v>0</v>
      </c>
      <c r="P192" s="27"/>
      <c r="Q192" s="27"/>
      <c r="R192" s="31"/>
    </row>
    <row r="193" spans="1:18" ht="19.5" customHeight="1">
      <c r="A193" s="29">
        <v>100</v>
      </c>
      <c r="B193" s="30" t="s">
        <v>118</v>
      </c>
      <c r="C193" s="29" t="s">
        <v>18</v>
      </c>
      <c r="D193" s="30"/>
      <c r="E193" s="30" t="s">
        <v>41</v>
      </c>
      <c r="F193" s="30" t="s">
        <v>445</v>
      </c>
      <c r="G193" s="30" t="s">
        <v>142</v>
      </c>
      <c r="H193" s="25">
        <v>11</v>
      </c>
      <c r="I193" s="1">
        <v>4</v>
      </c>
      <c r="J193" s="44">
        <v>4</v>
      </c>
      <c r="K193" s="27">
        <f t="shared" si="6"/>
        <v>0</v>
      </c>
      <c r="L193" s="27"/>
      <c r="M193" s="27"/>
      <c r="N193" s="1">
        <v>20</v>
      </c>
      <c r="O193" s="27">
        <f t="shared" si="7"/>
        <v>0</v>
      </c>
      <c r="P193" s="27"/>
      <c r="Q193" s="27"/>
      <c r="R193" s="31"/>
    </row>
    <row r="194" spans="1:18" ht="30.6" customHeight="1">
      <c r="A194" s="24"/>
      <c r="B194" s="23" t="s">
        <v>118</v>
      </c>
      <c r="C194" s="24" t="s">
        <v>18</v>
      </c>
      <c r="D194" s="23"/>
      <c r="E194" s="23" t="s">
        <v>41</v>
      </c>
      <c r="F194" s="23" t="s">
        <v>298</v>
      </c>
      <c r="G194" s="23" t="s">
        <v>124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/>
      <c r="O194" s="27">
        <f>P194+Q194</f>
        <v>0</v>
      </c>
      <c r="P194" s="27"/>
      <c r="Q194" s="27"/>
      <c r="R194" s="31"/>
    </row>
    <row r="195" spans="1:18" ht="27" customHeight="1">
      <c r="A195" s="24"/>
      <c r="B195" s="23" t="s">
        <v>118</v>
      </c>
      <c r="C195" s="24" t="s">
        <v>18</v>
      </c>
      <c r="D195" s="23"/>
      <c r="E195" s="23" t="s">
        <v>41</v>
      </c>
      <c r="F195" s="23" t="s">
        <v>123</v>
      </c>
      <c r="G195" s="23" t="s">
        <v>136</v>
      </c>
      <c r="H195" s="25">
        <v>0</v>
      </c>
      <c r="I195" s="2"/>
      <c r="J195" s="26"/>
      <c r="K195" s="27">
        <f t="shared" si="6"/>
        <v>0</v>
      </c>
      <c r="L195" s="27"/>
      <c r="M195" s="27"/>
      <c r="N195" s="2"/>
      <c r="O195" s="27">
        <f>P195+Q195</f>
        <v>0</v>
      </c>
      <c r="P195" s="27"/>
      <c r="Q195" s="27"/>
      <c r="R195" s="31"/>
    </row>
    <row r="196" spans="1:18" ht="27" customHeight="1">
      <c r="A196" s="46">
        <v>101</v>
      </c>
      <c r="B196" s="60" t="s">
        <v>119</v>
      </c>
      <c r="C196" s="46" t="s">
        <v>18</v>
      </c>
      <c r="D196" s="60"/>
      <c r="E196" s="60" t="s">
        <v>19</v>
      </c>
      <c r="F196" s="60" t="s">
        <v>120</v>
      </c>
      <c r="G196" s="60" t="s">
        <v>122</v>
      </c>
      <c r="H196" s="61">
        <v>0</v>
      </c>
      <c r="I196" s="32"/>
      <c r="J196" s="62"/>
      <c r="K196" s="27">
        <f t="shared" si="6"/>
        <v>0</v>
      </c>
      <c r="L196" s="63"/>
      <c r="M196" s="63"/>
      <c r="N196" s="32"/>
      <c r="O196" s="63">
        <v>0</v>
      </c>
      <c r="P196" s="63"/>
      <c r="Q196" s="63"/>
      <c r="R196" s="31"/>
    </row>
    <row r="197" spans="1:18" ht="27" customHeight="1">
      <c r="A197" s="46">
        <v>102</v>
      </c>
      <c r="B197" s="60" t="s">
        <v>325</v>
      </c>
      <c r="C197" s="46" t="s">
        <v>18</v>
      </c>
      <c r="D197" s="60"/>
      <c r="E197" s="60" t="s">
        <v>36</v>
      </c>
      <c r="F197" s="60" t="s">
        <v>446</v>
      </c>
      <c r="G197" s="60" t="s">
        <v>142</v>
      </c>
      <c r="H197" s="61">
        <v>4</v>
      </c>
      <c r="I197" s="32">
        <v>1</v>
      </c>
      <c r="J197" s="62">
        <v>1</v>
      </c>
      <c r="K197" s="27"/>
      <c r="L197" s="63"/>
      <c r="M197" s="63"/>
      <c r="N197" s="32"/>
      <c r="O197" s="63"/>
      <c r="P197" s="63"/>
      <c r="Q197" s="63"/>
      <c r="R197" s="31"/>
    </row>
    <row r="198" spans="1:18" ht="27" customHeight="1">
      <c r="A198" s="46"/>
      <c r="B198" s="23" t="s">
        <v>325</v>
      </c>
      <c r="C198" s="24" t="s">
        <v>18</v>
      </c>
      <c r="D198" s="23"/>
      <c r="E198" s="23" t="s">
        <v>36</v>
      </c>
      <c r="F198" s="23" t="s">
        <v>369</v>
      </c>
      <c r="G198" s="23" t="s">
        <v>124</v>
      </c>
      <c r="H198" s="25">
        <v>0</v>
      </c>
      <c r="I198" s="2"/>
      <c r="J198" s="26"/>
      <c r="K198" s="27">
        <f t="shared" si="6"/>
        <v>0</v>
      </c>
      <c r="L198" s="27"/>
      <c r="M198" s="27"/>
      <c r="N198" s="2"/>
      <c r="O198" s="27">
        <v>0</v>
      </c>
      <c r="P198" s="27"/>
      <c r="Q198" s="27"/>
      <c r="R198" s="31"/>
    </row>
    <row r="199" spans="1:18" ht="18.75" customHeight="1" thickBot="1">
      <c r="A199" s="47"/>
      <c r="B199" s="48" t="s">
        <v>325</v>
      </c>
      <c r="C199" s="49" t="s">
        <v>18</v>
      </c>
      <c r="D199" s="48"/>
      <c r="E199" s="48" t="s">
        <v>370</v>
      </c>
      <c r="F199" s="48" t="s">
        <v>371</v>
      </c>
      <c r="G199" s="48" t="s">
        <v>136</v>
      </c>
      <c r="H199" s="50">
        <v>0</v>
      </c>
      <c r="I199" s="33"/>
      <c r="J199" s="51"/>
      <c r="K199" s="34">
        <f t="shared" si="6"/>
        <v>0</v>
      </c>
      <c r="L199" s="52"/>
      <c r="M199" s="52"/>
      <c r="N199" s="33"/>
      <c r="O199" s="52">
        <f>P199+Q199</f>
        <v>0</v>
      </c>
      <c r="P199" s="52"/>
      <c r="Q199" s="52"/>
      <c r="R199" s="31"/>
    </row>
    <row r="200" spans="1:18" ht="16.5" customHeight="1">
      <c r="A200" s="87" t="s">
        <v>145</v>
      </c>
      <c r="B200" s="87"/>
      <c r="C200" s="88"/>
      <c r="D200" s="89"/>
      <c r="E200" s="89"/>
      <c r="F200" s="89"/>
      <c r="G200" s="89"/>
      <c r="H200" s="88">
        <f>SUM(H10:H199)</f>
        <v>893</v>
      </c>
      <c r="I200" s="88">
        <f>SUM(I10:I199)</f>
        <v>250</v>
      </c>
      <c r="J200" s="88">
        <f>SUM(J10:J199)</f>
        <v>256</v>
      </c>
      <c r="K200" s="90">
        <f>SUM(K10:K199)</f>
        <v>0</v>
      </c>
      <c r="L200" s="90">
        <f t="shared" ref="L200:Q200" si="8">SUM(L10:L199)</f>
        <v>0</v>
      </c>
      <c r="M200" s="88">
        <f t="shared" si="8"/>
        <v>0</v>
      </c>
      <c r="N200" s="88">
        <f t="shared" si="8"/>
        <v>548</v>
      </c>
      <c r="O200" s="90">
        <f>SUM(O10:O199)</f>
        <v>193503.01</v>
      </c>
      <c r="P200" s="90">
        <f>SUM(P10:P199)</f>
        <v>189142.06000000003</v>
      </c>
      <c r="Q200" s="88">
        <f t="shared" si="8"/>
        <v>4360.95</v>
      </c>
      <c r="R200" s="31"/>
    </row>
    <row r="201" spans="1:18" ht="15" customHeight="1">
      <c r="A201" s="24"/>
      <c r="B201" s="23"/>
      <c r="C201" s="24"/>
      <c r="D201" s="23"/>
      <c r="E201" s="23"/>
      <c r="F201" s="23"/>
      <c r="G201" s="23"/>
      <c r="H201" s="98"/>
      <c r="I201" s="98"/>
      <c r="J201" s="98"/>
      <c r="K201" s="98"/>
      <c r="L201" s="98"/>
      <c r="M201" s="98"/>
      <c r="N201" s="98"/>
      <c r="O201" s="98"/>
      <c r="P201" s="24"/>
      <c r="Q201" s="24"/>
      <c r="R201" s="31"/>
    </row>
    <row r="202" spans="1:18">
      <c r="R202" s="31"/>
    </row>
    <row r="203" spans="1:18">
      <c r="K203" s="31"/>
      <c r="L203" s="31"/>
      <c r="M203" s="31"/>
    </row>
    <row r="204" spans="1:18">
      <c r="K204" s="31"/>
      <c r="L204" s="31"/>
      <c r="N204" s="31"/>
      <c r="O204" s="31"/>
    </row>
    <row r="205" spans="1:18">
      <c r="K205" s="31"/>
      <c r="L205" s="31"/>
      <c r="N205" s="31"/>
    </row>
    <row r="206" spans="1:18">
      <c r="K206" s="31"/>
      <c r="L206" s="31"/>
    </row>
    <row r="207" spans="1:18">
      <c r="K207" s="31"/>
      <c r="L207" s="31"/>
    </row>
    <row r="208" spans="1:18">
      <c r="L208" s="31"/>
    </row>
    <row r="215" spans="12:12">
      <c r="L215" s="31"/>
    </row>
  </sheetData>
  <mergeCells count="8">
    <mergeCell ref="A200:B20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R215"/>
  <sheetViews>
    <sheetView topLeftCell="A187" zoomScale="90" zoomScaleNormal="90" workbookViewId="0">
      <selection activeCell="H200" sqref="A7:Q200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0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10</v>
      </c>
      <c r="I11" s="1">
        <v>3</v>
      </c>
      <c r="J11" s="26">
        <v>3</v>
      </c>
      <c r="K11" s="27">
        <f t="shared" ref="K11:K83" si="2">L11+M11</f>
        <v>0</v>
      </c>
      <c r="L11" s="27"/>
      <c r="M11" s="27"/>
      <c r="N11" s="1">
        <v>12</v>
      </c>
      <c r="O11" s="27">
        <f t="shared" si="1"/>
        <v>4669.3</v>
      </c>
      <c r="P11" s="27"/>
      <c r="Q11" s="27">
        <v>4669.3</v>
      </c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3500.41</v>
      </c>
      <c r="P12" s="27">
        <v>3500.41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>
        <v>2</v>
      </c>
      <c r="J14" s="26">
        <v>3</v>
      </c>
      <c r="K14" s="27">
        <f t="shared" si="2"/>
        <v>0</v>
      </c>
      <c r="L14" s="27"/>
      <c r="M14" s="27"/>
      <c r="N14" s="1">
        <v>12</v>
      </c>
      <c r="O14" s="27">
        <f t="shared" si="1"/>
        <v>6380.54</v>
      </c>
      <c r="P14" s="27">
        <v>6380.54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12</v>
      </c>
      <c r="I15" s="2">
        <v>6</v>
      </c>
      <c r="J15" s="26">
        <v>6</v>
      </c>
      <c r="K15" s="27">
        <f t="shared" si="2"/>
        <v>0</v>
      </c>
      <c r="L15" s="27"/>
      <c r="M15" s="27"/>
      <c r="N15" s="2">
        <v>10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15</v>
      </c>
      <c r="I16" s="1">
        <v>9</v>
      </c>
      <c r="J16" s="26">
        <v>10</v>
      </c>
      <c r="K16" s="27">
        <f t="shared" si="2"/>
        <v>0</v>
      </c>
      <c r="L16" s="27"/>
      <c r="M16" s="27"/>
      <c r="N16" s="1">
        <v>11</v>
      </c>
      <c r="O16" s="27">
        <f t="shared" si="1"/>
        <v>9373.48</v>
      </c>
      <c r="P16" s="27">
        <v>9373.48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19</v>
      </c>
      <c r="I20" s="1">
        <v>9</v>
      </c>
      <c r="J20" s="26">
        <v>9</v>
      </c>
      <c r="K20" s="27">
        <f t="shared" si="2"/>
        <v>0</v>
      </c>
      <c r="L20" s="27"/>
      <c r="M20" s="27"/>
      <c r="N20" s="1">
        <v>15</v>
      </c>
      <c r="O20" s="27">
        <f t="shared" si="1"/>
        <v>4072.37</v>
      </c>
      <c r="P20" s="27">
        <f>4072.37</f>
        <v>4072.37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3</v>
      </c>
      <c r="I22" s="2"/>
      <c r="J22" s="26"/>
      <c r="K22" s="27">
        <f t="shared" si="2"/>
        <v>0</v>
      </c>
      <c r="L22" s="27"/>
      <c r="M22" s="27"/>
      <c r="N22" s="2">
        <v>8</v>
      </c>
      <c r="O22" s="27">
        <f t="shared" si="1"/>
        <v>2290.6</v>
      </c>
      <c r="P22" s="27">
        <v>376.32</v>
      </c>
      <c r="Q22" s="27">
        <v>1914.28</v>
      </c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6</v>
      </c>
      <c r="I26" s="1">
        <v>3</v>
      </c>
      <c r="J26" s="44">
        <v>3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12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9164.61</v>
      </c>
      <c r="P29" s="27">
        <f>1585.49+7579.12</f>
        <v>9164.61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7</v>
      </c>
      <c r="J32" s="26">
        <v>8</v>
      </c>
      <c r="K32" s="27">
        <f t="shared" si="2"/>
        <v>0</v>
      </c>
      <c r="L32" s="27"/>
      <c r="M32" s="27"/>
      <c r="N32" s="1">
        <v>7</v>
      </c>
      <c r="O32" s="27">
        <f t="shared" si="1"/>
        <v>8353.67</v>
      </c>
      <c r="P32" s="27">
        <v>8353.67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2</v>
      </c>
      <c r="O33" s="27">
        <f t="shared" si="1"/>
        <v>881</v>
      </c>
      <c r="P33" s="27">
        <v>881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3494.69</v>
      </c>
      <c r="P34" s="27">
        <v>3494.69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5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5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7</v>
      </c>
      <c r="I37" s="2"/>
      <c r="J37" s="26"/>
      <c r="K37" s="27">
        <f t="shared" si="2"/>
        <v>0</v>
      </c>
      <c r="L37" s="27"/>
      <c r="M37" s="27"/>
      <c r="N37" s="2">
        <v>5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9</v>
      </c>
      <c r="I38" s="1">
        <v>6</v>
      </c>
      <c r="J38" s="26">
        <v>6</v>
      </c>
      <c r="K38" s="27">
        <f t="shared" si="2"/>
        <v>0</v>
      </c>
      <c r="L38" s="27"/>
      <c r="M38" s="27"/>
      <c r="N38" s="1">
        <v>10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10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6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4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6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2</v>
      </c>
      <c r="I45" s="1"/>
      <c r="J45" s="26"/>
      <c r="K45" s="27">
        <f t="shared" si="2"/>
        <v>0</v>
      </c>
      <c r="L45" s="27"/>
      <c r="M45" s="27"/>
      <c r="N45" s="1">
        <v>3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6</v>
      </c>
      <c r="I48" s="1">
        <v>2</v>
      </c>
      <c r="J48" s="26">
        <v>2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4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10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5</v>
      </c>
      <c r="O50" s="27">
        <f t="shared" si="1"/>
        <v>6837.93</v>
      </c>
      <c r="P50" s="27">
        <v>6837.93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10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10258.950000000001</v>
      </c>
      <c r="P53" s="27">
        <v>10258.950000000001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6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4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7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13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17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2817.33</v>
      </c>
      <c r="P60" s="27">
        <v>2817.33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14</v>
      </c>
      <c r="I61" s="1">
        <v>5</v>
      </c>
      <c r="J61" s="26">
        <v>5</v>
      </c>
      <c r="K61" s="27">
        <f t="shared" si="2"/>
        <v>0</v>
      </c>
      <c r="L61" s="27"/>
      <c r="M61" s="27"/>
      <c r="N61" s="1">
        <v>10</v>
      </c>
      <c r="O61" s="27">
        <f t="shared" si="1"/>
        <v>3558.78</v>
      </c>
      <c r="P61" s="27">
        <v>3558.78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1</v>
      </c>
      <c r="J62" s="26">
        <v>1</v>
      </c>
      <c r="K62" s="27">
        <f t="shared" si="2"/>
        <v>0</v>
      </c>
      <c r="L62" s="27"/>
      <c r="M62" s="27"/>
      <c r="N62" s="1">
        <v>5</v>
      </c>
      <c r="O62" s="27">
        <f t="shared" si="1"/>
        <v>1585.8</v>
      </c>
      <c r="P62" s="27"/>
      <c r="Q62" s="27">
        <v>1585.8</v>
      </c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6</v>
      </c>
      <c r="I63" s="1">
        <v>1</v>
      </c>
      <c r="J63" s="26">
        <v>1</v>
      </c>
      <c r="K63" s="27">
        <f t="shared" si="2"/>
        <v>0</v>
      </c>
      <c r="L63" s="27"/>
      <c r="M63" s="27"/>
      <c r="N63" s="1">
        <v>4</v>
      </c>
      <c r="O63" s="27">
        <f t="shared" si="1"/>
        <v>3793.8</v>
      </c>
      <c r="P63" s="27">
        <v>3793.8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9</v>
      </c>
      <c r="I64" s="1"/>
      <c r="J64" s="26"/>
      <c r="K64" s="27">
        <f t="shared" si="2"/>
        <v>0</v>
      </c>
      <c r="L64" s="27"/>
      <c r="M64" s="27"/>
      <c r="N64" s="1">
        <v>6</v>
      </c>
      <c r="O64" s="27">
        <f t="shared" si="1"/>
        <v>5902.7</v>
      </c>
      <c r="P64" s="27">
        <v>5902.7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6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5</v>
      </c>
      <c r="J66" s="26">
        <v>5</v>
      </c>
      <c r="K66" s="27">
        <f t="shared" si="2"/>
        <v>0</v>
      </c>
      <c r="L66" s="27"/>
      <c r="M66" s="27"/>
      <c r="N66" s="1">
        <v>7</v>
      </c>
      <c r="O66" s="27">
        <f t="shared" si="1"/>
        <v>10706</v>
      </c>
      <c r="P66" s="27">
        <f>1353.94+9352.06</f>
        <v>10706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6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9</v>
      </c>
      <c r="I70" s="2">
        <v>1</v>
      </c>
      <c r="J70" s="26">
        <v>1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14</v>
      </c>
      <c r="I71" s="1">
        <v>2</v>
      </c>
      <c r="J71" s="26">
        <v>2</v>
      </c>
      <c r="K71" s="27">
        <f t="shared" si="2"/>
        <v>0</v>
      </c>
      <c r="L71" s="27"/>
      <c r="M71" s="27"/>
      <c r="N71" s="1">
        <v>10</v>
      </c>
      <c r="O71" s="27">
        <f t="shared" si="1"/>
        <v>19259.82</v>
      </c>
      <c r="P71" s="27">
        <f>8536.41+1900.55+1810.72+5409.65+1602.49</f>
        <v>19259.82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13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0</v>
      </c>
      <c r="P74" s="27"/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5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2242.5</v>
      </c>
      <c r="P75" s="27">
        <v>2242.5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5</v>
      </c>
      <c r="O76" s="27">
        <f t="shared" si="1"/>
        <v>0</v>
      </c>
      <c r="P76" s="27"/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7</v>
      </c>
      <c r="I77" s="1">
        <v>3</v>
      </c>
      <c r="J77" s="26">
        <v>3</v>
      </c>
      <c r="K77" s="27">
        <f t="shared" si="2"/>
        <v>0</v>
      </c>
      <c r="L77" s="27"/>
      <c r="M77" s="27"/>
      <c r="N77" s="1">
        <v>13</v>
      </c>
      <c r="O77" s="27">
        <f t="shared" si="1"/>
        <v>5457.7</v>
      </c>
      <c r="P77" s="27">
        <v>5457.7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5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2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2</v>
      </c>
      <c r="I80" s="1"/>
      <c r="J80" s="26"/>
      <c r="K80" s="27">
        <f t="shared" si="2"/>
        <v>0</v>
      </c>
      <c r="L80" s="27"/>
      <c r="M80" s="27"/>
      <c r="N80" s="1">
        <v>7</v>
      </c>
      <c r="O80" s="27">
        <f t="shared" si="1"/>
        <v>1497.7</v>
      </c>
      <c r="P80" s="27">
        <v>1497.7</v>
      </c>
      <c r="Q80" s="27"/>
      <c r="R80" s="20"/>
    </row>
    <row r="81" spans="1:38" s="17" customFormat="1" ht="15" customHeight="1">
      <c r="A81" s="24">
        <v>39</v>
      </c>
      <c r="B81" s="23" t="s">
        <v>238</v>
      </c>
      <c r="C81" s="24" t="s">
        <v>18</v>
      </c>
      <c r="D81" s="23"/>
      <c r="E81" s="23" t="s">
        <v>41</v>
      </c>
      <c r="F81" s="23" t="s">
        <v>408</v>
      </c>
      <c r="G81" s="23" t="s">
        <v>142</v>
      </c>
      <c r="H81" s="25">
        <v>26</v>
      </c>
      <c r="I81" s="1">
        <v>13</v>
      </c>
      <c r="J81" s="26">
        <v>13</v>
      </c>
      <c r="K81" s="27">
        <f t="shared" si="2"/>
        <v>0</v>
      </c>
      <c r="L81" s="27"/>
      <c r="M81" s="27"/>
      <c r="N81" s="1">
        <v>1</v>
      </c>
      <c r="O81" s="27">
        <f t="shared" si="1"/>
        <v>6215.87</v>
      </c>
      <c r="P81" s="27">
        <v>6215.87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7" customFormat="1" ht="15" customHeight="1">
      <c r="A82" s="24">
        <v>40</v>
      </c>
      <c r="B82" s="23" t="s">
        <v>65</v>
      </c>
      <c r="C82" s="24" t="s">
        <v>18</v>
      </c>
      <c r="D82" s="23"/>
      <c r="E82" s="23" t="s">
        <v>66</v>
      </c>
      <c r="F82" s="23" t="s">
        <v>409</v>
      </c>
      <c r="G82" s="23" t="s">
        <v>142</v>
      </c>
      <c r="H82" s="25">
        <v>9</v>
      </c>
      <c r="I82" s="1"/>
      <c r="J82" s="26"/>
      <c r="K82" s="27">
        <f t="shared" si="2"/>
        <v>0</v>
      </c>
      <c r="L82" s="27"/>
      <c r="M82" s="27"/>
      <c r="N82" s="1">
        <v>9</v>
      </c>
      <c r="O82" s="27">
        <f t="shared" si="1"/>
        <v>477.41</v>
      </c>
      <c r="P82" s="27">
        <v>477.41</v>
      </c>
      <c r="Q82" s="27"/>
      <c r="R82" s="20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 spans="1:38" ht="15" customHeight="1">
      <c r="A83" s="24"/>
      <c r="B83" s="23" t="s">
        <v>65</v>
      </c>
      <c r="C83" s="24" t="s">
        <v>18</v>
      </c>
      <c r="D83" s="23"/>
      <c r="E83" s="23" t="s">
        <v>66</v>
      </c>
      <c r="F83" s="23" t="s">
        <v>123</v>
      </c>
      <c r="G83" s="23" t="s">
        <v>136</v>
      </c>
      <c r="H83" s="25">
        <v>0</v>
      </c>
      <c r="I83" s="2"/>
      <c r="J83" s="26"/>
      <c r="K83" s="27">
        <f t="shared" si="2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s="7" customFormat="1" ht="15" customHeight="1">
      <c r="A84" s="24">
        <v>41</v>
      </c>
      <c r="B84" s="23" t="s">
        <v>67</v>
      </c>
      <c r="C84" s="24" t="s">
        <v>18</v>
      </c>
      <c r="D84" s="23"/>
      <c r="E84" s="23" t="s">
        <v>19</v>
      </c>
      <c r="F84" s="23" t="s">
        <v>410</v>
      </c>
      <c r="G84" s="23" t="s">
        <v>142</v>
      </c>
      <c r="H84" s="25">
        <v>16</v>
      </c>
      <c r="I84" s="1">
        <v>14</v>
      </c>
      <c r="J84" s="26">
        <v>14</v>
      </c>
      <c r="K84" s="27">
        <f t="shared" ref="K84:K152" si="3">L84+M84</f>
        <v>0</v>
      </c>
      <c r="L84" s="27"/>
      <c r="M84" s="27"/>
      <c r="N84" s="1">
        <v>9</v>
      </c>
      <c r="O84" s="27">
        <f t="shared" si="1"/>
        <v>1369.13</v>
      </c>
      <c r="P84" s="27">
        <v>1369.13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s="28" customFormat="1" ht="15" customHeight="1">
      <c r="A85" s="24"/>
      <c r="B85" s="23" t="s">
        <v>67</v>
      </c>
      <c r="C85" s="24" t="s">
        <v>18</v>
      </c>
      <c r="D85" s="23"/>
      <c r="E85" s="23" t="s">
        <v>104</v>
      </c>
      <c r="F85" s="23" t="s">
        <v>123</v>
      </c>
      <c r="G85" s="23" t="s">
        <v>122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1"/>
        <v>0</v>
      </c>
      <c r="P85" s="27"/>
      <c r="Q85" s="27"/>
      <c r="R85" s="20"/>
    </row>
    <row r="86" spans="1:38" ht="15" customHeight="1">
      <c r="A86" s="24">
        <v>42</v>
      </c>
      <c r="B86" s="23" t="s">
        <v>68</v>
      </c>
      <c r="C86" s="24" t="s">
        <v>18</v>
      </c>
      <c r="D86" s="24"/>
      <c r="E86" s="23" t="s">
        <v>50</v>
      </c>
      <c r="F86" s="23" t="s">
        <v>411</v>
      </c>
      <c r="G86" s="23" t="s">
        <v>142</v>
      </c>
      <c r="H86" s="25">
        <v>5</v>
      </c>
      <c r="I86" s="1"/>
      <c r="J86" s="26"/>
      <c r="K86" s="27">
        <f t="shared" si="3"/>
        <v>0</v>
      </c>
      <c r="L86" s="27"/>
      <c r="M86" s="27"/>
      <c r="N86" s="1"/>
      <c r="O86" s="27">
        <f t="shared" si="1"/>
        <v>0</v>
      </c>
      <c r="P86" s="27"/>
      <c r="Q86" s="27"/>
      <c r="R86" s="20"/>
    </row>
    <row r="87" spans="1:38" ht="15" customHeight="1">
      <c r="A87" s="24"/>
      <c r="B87" s="23" t="s">
        <v>68</v>
      </c>
      <c r="C87" s="24" t="s">
        <v>18</v>
      </c>
      <c r="D87" s="23"/>
      <c r="E87" s="23" t="s">
        <v>50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1"/>
        <v>0</v>
      </c>
      <c r="P87" s="27"/>
      <c r="Q87" s="27"/>
      <c r="R87" s="20"/>
    </row>
    <row r="88" spans="1:38" ht="15" customHeight="1">
      <c r="A88" s="24"/>
      <c r="B88" s="23" t="s">
        <v>68</v>
      </c>
      <c r="C88" s="24" t="s">
        <v>18</v>
      </c>
      <c r="D88" s="23"/>
      <c r="E88" s="23" t="s">
        <v>50</v>
      </c>
      <c r="F88" s="23" t="s">
        <v>292</v>
      </c>
      <c r="G88" s="23" t="s">
        <v>124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1"/>
        <v>0</v>
      </c>
      <c r="P88" s="27"/>
      <c r="Q88" s="27"/>
      <c r="R88" s="20"/>
    </row>
    <row r="89" spans="1:38" ht="15" customHeight="1">
      <c r="A89" s="24">
        <v>43</v>
      </c>
      <c r="B89" s="23" t="s">
        <v>127</v>
      </c>
      <c r="C89" s="24" t="s">
        <v>18</v>
      </c>
      <c r="D89" s="23"/>
      <c r="E89" s="23" t="s">
        <v>41</v>
      </c>
      <c r="F89" s="23" t="s">
        <v>412</v>
      </c>
      <c r="G89" s="23" t="s">
        <v>142</v>
      </c>
      <c r="H89" s="25">
        <v>9</v>
      </c>
      <c r="I89" s="2">
        <v>1</v>
      </c>
      <c r="J89" s="26">
        <v>1</v>
      </c>
      <c r="K89" s="27">
        <f t="shared" si="3"/>
        <v>0</v>
      </c>
      <c r="L89" s="27"/>
      <c r="M89" s="27"/>
      <c r="N89" s="2">
        <v>2</v>
      </c>
      <c r="O89" s="27">
        <f t="shared" si="1"/>
        <v>3045.34</v>
      </c>
      <c r="P89" s="27">
        <v>3045.34</v>
      </c>
      <c r="Q89" s="27"/>
      <c r="R89" s="20"/>
    </row>
    <row r="90" spans="1:38" ht="15" customHeight="1">
      <c r="A90" s="24"/>
      <c r="B90" s="23" t="s">
        <v>127</v>
      </c>
      <c r="C90" s="24" t="s">
        <v>18</v>
      </c>
      <c r="D90" s="23"/>
      <c r="E90" s="23" t="s">
        <v>50</v>
      </c>
      <c r="F90" s="23" t="s">
        <v>364</v>
      </c>
      <c r="G90" s="23" t="s">
        <v>136</v>
      </c>
      <c r="H90" s="25">
        <v>10</v>
      </c>
      <c r="I90" s="2">
        <v>1</v>
      </c>
      <c r="J90" s="26">
        <v>1</v>
      </c>
      <c r="K90" s="27">
        <f t="shared" si="3"/>
        <v>0</v>
      </c>
      <c r="L90" s="27"/>
      <c r="M90" s="27"/>
      <c r="N90" s="2">
        <v>14</v>
      </c>
      <c r="O90" s="27">
        <f t="shared" si="1"/>
        <v>0</v>
      </c>
      <c r="P90" s="27"/>
      <c r="Q90" s="27"/>
      <c r="R90" s="20"/>
    </row>
    <row r="91" spans="1:38" ht="15" customHeight="1">
      <c r="A91" s="24"/>
      <c r="B91" s="23" t="s">
        <v>127</v>
      </c>
      <c r="C91" s="24" t="s">
        <v>18</v>
      </c>
      <c r="D91" s="23"/>
      <c r="E91" s="23" t="s">
        <v>50</v>
      </c>
      <c r="F91" s="23" t="s">
        <v>375</v>
      </c>
      <c r="G91" s="23" t="s">
        <v>124</v>
      </c>
      <c r="H91" s="25">
        <v>1</v>
      </c>
      <c r="I91" s="2"/>
      <c r="J91" s="26"/>
      <c r="K91" s="27">
        <f t="shared" si="3"/>
        <v>0</v>
      </c>
      <c r="L91" s="27"/>
      <c r="M91" s="27"/>
      <c r="N91" s="2">
        <v>1</v>
      </c>
      <c r="O91" s="27">
        <f t="shared" ref="O91:O188" si="4">P91+Q91</f>
        <v>0</v>
      </c>
      <c r="P91" s="27"/>
      <c r="Q91" s="27"/>
      <c r="R91" s="20"/>
    </row>
    <row r="92" spans="1:38" s="7" customFormat="1" ht="15" customHeight="1">
      <c r="A92" s="74">
        <v>44</v>
      </c>
      <c r="B92" s="77" t="s">
        <v>69</v>
      </c>
      <c r="C92" s="74" t="s">
        <v>18</v>
      </c>
      <c r="D92" s="77"/>
      <c r="E92" s="77" t="s">
        <v>19</v>
      </c>
      <c r="F92" s="77" t="s">
        <v>292</v>
      </c>
      <c r="G92" s="77" t="s">
        <v>142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s="7" customFormat="1" ht="15.75" customHeight="1">
      <c r="A93" s="74">
        <v>45</v>
      </c>
      <c r="B93" s="77" t="s">
        <v>70</v>
      </c>
      <c r="C93" s="74" t="s">
        <v>18</v>
      </c>
      <c r="D93" s="77"/>
      <c r="E93" s="77" t="s">
        <v>19</v>
      </c>
      <c r="F93" s="77" t="s">
        <v>413</v>
      </c>
      <c r="G93" s="77" t="s">
        <v>142</v>
      </c>
      <c r="H93" s="25">
        <v>6</v>
      </c>
      <c r="I93" s="1">
        <v>4</v>
      </c>
      <c r="J93" s="26">
        <v>4</v>
      </c>
      <c r="K93" s="27">
        <f t="shared" si="3"/>
        <v>0</v>
      </c>
      <c r="L93" s="27"/>
      <c r="M93" s="27"/>
      <c r="N93" s="1">
        <v>4</v>
      </c>
      <c r="O93" s="27">
        <f t="shared" si="4"/>
        <v>3806.1</v>
      </c>
      <c r="P93" s="27">
        <v>3806.1</v>
      </c>
      <c r="Q93" s="27"/>
      <c r="R93" s="20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 spans="1:38" ht="15" customHeight="1">
      <c r="A94" s="74">
        <v>46</v>
      </c>
      <c r="B94" s="77" t="s">
        <v>71</v>
      </c>
      <c r="C94" s="74" t="s">
        <v>18</v>
      </c>
      <c r="D94" s="77"/>
      <c r="E94" s="77" t="s">
        <v>32</v>
      </c>
      <c r="F94" s="77" t="s">
        <v>292</v>
      </c>
      <c r="G94" s="77" t="s">
        <v>121</v>
      </c>
      <c r="H94" s="25">
        <v>0</v>
      </c>
      <c r="I94" s="1"/>
      <c r="J94" s="26"/>
      <c r="K94" s="27">
        <f t="shared" si="3"/>
        <v>0</v>
      </c>
      <c r="L94" s="27"/>
      <c r="M94" s="27"/>
      <c r="N94" s="1">
        <v>2</v>
      </c>
      <c r="O94" s="27">
        <f t="shared" si="4"/>
        <v>0</v>
      </c>
      <c r="P94" s="27"/>
      <c r="Q94" s="27"/>
      <c r="R94" s="20"/>
    </row>
    <row r="95" spans="1:38" ht="15" customHeight="1">
      <c r="A95" s="24"/>
      <c r="B95" s="23" t="s">
        <v>71</v>
      </c>
      <c r="C95" s="24" t="s">
        <v>18</v>
      </c>
      <c r="D95" s="23"/>
      <c r="E95" s="23" t="s">
        <v>32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</row>
    <row r="96" spans="1:38" ht="15" customHeight="1">
      <c r="A96" s="24">
        <v>47</v>
      </c>
      <c r="B96" s="23" t="s">
        <v>72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72</v>
      </c>
      <c r="C97" s="24" t="s">
        <v>18</v>
      </c>
      <c r="D97" s="23"/>
      <c r="E97" s="23" t="s">
        <v>19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73</v>
      </c>
      <c r="C98" s="24" t="s">
        <v>18</v>
      </c>
      <c r="D98" s="23"/>
      <c r="E98" s="23" t="s">
        <v>19</v>
      </c>
      <c r="F98" s="23"/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s="7" customFormat="1" ht="15" customHeight="1">
      <c r="A99" s="24">
        <v>49</v>
      </c>
      <c r="B99" s="23" t="s">
        <v>74</v>
      </c>
      <c r="C99" s="24" t="s">
        <v>18</v>
      </c>
      <c r="D99" s="23"/>
      <c r="E99" s="23" t="s">
        <v>19</v>
      </c>
      <c r="F99" s="23" t="s">
        <v>414</v>
      </c>
      <c r="G99" s="23" t="s">
        <v>142</v>
      </c>
      <c r="H99" s="25">
        <v>13</v>
      </c>
      <c r="I99" s="1">
        <v>7</v>
      </c>
      <c r="J99" s="26">
        <v>7</v>
      </c>
      <c r="K99" s="27">
        <f t="shared" si="3"/>
        <v>0</v>
      </c>
      <c r="L99" s="27"/>
      <c r="M99" s="27"/>
      <c r="N99" s="1">
        <v>8</v>
      </c>
      <c r="O99" s="27">
        <f t="shared" si="4"/>
        <v>8926.48</v>
      </c>
      <c r="P99" s="27">
        <v>8926.48</v>
      </c>
      <c r="Q99" s="27"/>
      <c r="R99" s="20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 spans="1:38" s="7" customFormat="1" ht="15" customHeight="1">
      <c r="A100" s="24">
        <v>50</v>
      </c>
      <c r="B100" s="23" t="s">
        <v>312</v>
      </c>
      <c r="C100" s="24" t="s">
        <v>18</v>
      </c>
      <c r="D100" s="23"/>
      <c r="E100" s="23" t="s">
        <v>19</v>
      </c>
      <c r="F100" s="23" t="s">
        <v>415</v>
      </c>
      <c r="G100" s="23" t="s">
        <v>142</v>
      </c>
      <c r="H100" s="25">
        <v>7</v>
      </c>
      <c r="I100" s="1">
        <v>3</v>
      </c>
      <c r="J100" s="26">
        <v>3</v>
      </c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s="7" customFormat="1" ht="15" customHeight="1">
      <c r="A101" s="24"/>
      <c r="B101" s="23" t="s">
        <v>312</v>
      </c>
      <c r="C101" s="24" t="s">
        <v>18</v>
      </c>
      <c r="D101" s="23"/>
      <c r="E101" s="23" t="s">
        <v>304</v>
      </c>
      <c r="F101" s="23" t="s">
        <v>339</v>
      </c>
      <c r="G101" s="23" t="s">
        <v>131</v>
      </c>
      <c r="H101" s="25">
        <v>10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/>
      <c r="B102" s="23" t="s">
        <v>312</v>
      </c>
      <c r="C102" s="24" t="s">
        <v>18</v>
      </c>
      <c r="D102" s="23"/>
      <c r="E102" s="23" t="s">
        <v>41</v>
      </c>
      <c r="F102" s="23" t="s">
        <v>365</v>
      </c>
      <c r="G102" s="23" t="s">
        <v>136</v>
      </c>
      <c r="H102" s="25">
        <v>9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ht="15" customHeight="1">
      <c r="A103" s="24">
        <v>51</v>
      </c>
      <c r="B103" s="23" t="s">
        <v>75</v>
      </c>
      <c r="C103" s="24" t="s">
        <v>18</v>
      </c>
      <c r="D103" s="23"/>
      <c r="E103" s="23" t="s">
        <v>19</v>
      </c>
      <c r="F103" s="23" t="s">
        <v>416</v>
      </c>
      <c r="G103" s="23" t="s">
        <v>142</v>
      </c>
      <c r="H103" s="25">
        <v>9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17</v>
      </c>
      <c r="O103" s="27">
        <f>P103+Q103</f>
        <v>25135.54</v>
      </c>
      <c r="P103" s="27">
        <f>7142.66+6007.6+11985.28</f>
        <v>25135.54</v>
      </c>
      <c r="Q103" s="27"/>
      <c r="R103" s="20"/>
    </row>
    <row r="104" spans="1:38" ht="13.15" customHeight="1">
      <c r="A104" s="24"/>
      <c r="B104" s="23" t="s">
        <v>75</v>
      </c>
      <c r="C104" s="24" t="s">
        <v>18</v>
      </c>
      <c r="D104" s="23"/>
      <c r="E104" s="23" t="s">
        <v>76</v>
      </c>
      <c r="F104" s="23" t="s">
        <v>335</v>
      </c>
      <c r="G104" s="23" t="s">
        <v>131</v>
      </c>
      <c r="H104" s="25">
        <v>3</v>
      </c>
      <c r="I104" s="1"/>
      <c r="J104" s="26"/>
      <c r="K104" s="27">
        <f t="shared" si="3"/>
        <v>0</v>
      </c>
      <c r="L104" s="27"/>
      <c r="M104" s="27"/>
      <c r="N104" s="1">
        <v>5</v>
      </c>
      <c r="O104" s="27">
        <f>P104+Q104</f>
        <v>3171.6</v>
      </c>
      <c r="P104" s="27">
        <v>3171.6</v>
      </c>
      <c r="Q104" s="27"/>
      <c r="R104" s="20"/>
    </row>
    <row r="105" spans="1:38" ht="15" customHeight="1">
      <c r="A105" s="24"/>
      <c r="B105" s="23" t="s">
        <v>140</v>
      </c>
      <c r="C105" s="24" t="s">
        <v>18</v>
      </c>
      <c r="D105" s="23"/>
      <c r="E105" s="23" t="s">
        <v>76</v>
      </c>
      <c r="F105" s="23" t="s">
        <v>377</v>
      </c>
      <c r="G105" s="23" t="s">
        <v>136</v>
      </c>
      <c r="H105" s="25">
        <v>2</v>
      </c>
      <c r="I105" s="2"/>
      <c r="J105" s="26"/>
      <c r="K105" s="27">
        <f t="shared" si="3"/>
        <v>0</v>
      </c>
      <c r="L105" s="27"/>
      <c r="M105" s="27"/>
      <c r="N105" s="2">
        <v>18</v>
      </c>
      <c r="O105" s="27">
        <f>P105+Q105</f>
        <v>10882.75</v>
      </c>
      <c r="P105" s="35">
        <v>10882.75</v>
      </c>
      <c r="Q105" s="27"/>
      <c r="R105" s="20"/>
    </row>
    <row r="106" spans="1:38" s="17" customFormat="1" ht="15" customHeight="1">
      <c r="A106" s="24">
        <v>52</v>
      </c>
      <c r="B106" s="23" t="s">
        <v>267</v>
      </c>
      <c r="C106" s="24" t="s">
        <v>18</v>
      </c>
      <c r="D106" s="23"/>
      <c r="E106" s="23" t="s">
        <v>19</v>
      </c>
      <c r="F106" s="23" t="s">
        <v>268</v>
      </c>
      <c r="G106" s="23" t="s">
        <v>142</v>
      </c>
      <c r="H106" s="25">
        <v>0</v>
      </c>
      <c r="I106" s="2"/>
      <c r="J106" s="26"/>
      <c r="K106" s="27">
        <f t="shared" si="3"/>
        <v>0</v>
      </c>
      <c r="L106" s="27"/>
      <c r="M106" s="27"/>
      <c r="N106" s="2"/>
      <c r="O106" s="27">
        <f>P106+Q106</f>
        <v>0</v>
      </c>
      <c r="P106" s="27"/>
      <c r="Q106" s="27"/>
      <c r="R106" s="20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38" s="17" customFormat="1" ht="15" customHeight="1">
      <c r="A107" s="24"/>
      <c r="B107" s="23" t="s">
        <v>267</v>
      </c>
      <c r="C107" s="24" t="s">
        <v>18</v>
      </c>
      <c r="D107" s="23"/>
      <c r="E107" s="23" t="s">
        <v>19</v>
      </c>
      <c r="F107" s="23" t="s">
        <v>336</v>
      </c>
      <c r="G107" s="23" t="s">
        <v>131</v>
      </c>
      <c r="H107" s="25">
        <v>5</v>
      </c>
      <c r="I107" s="2"/>
      <c r="J107" s="26"/>
      <c r="K107" s="27">
        <f t="shared" si="3"/>
        <v>0</v>
      </c>
      <c r="L107" s="27"/>
      <c r="M107" s="27"/>
      <c r="N107" s="2">
        <v>2</v>
      </c>
      <c r="O107" s="27">
        <f t="shared" ref="O107:O111" si="5">P107+Q107</f>
        <v>1703.9</v>
      </c>
      <c r="P107" s="27">
        <v>1703.9</v>
      </c>
      <c r="Q107" s="27"/>
      <c r="R107" s="20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:38" ht="15" customHeight="1">
      <c r="A108" s="24"/>
      <c r="B108" s="23" t="s">
        <v>267</v>
      </c>
      <c r="C108" s="24" t="s">
        <v>18</v>
      </c>
      <c r="D108" s="23"/>
      <c r="E108" s="23" t="s">
        <v>19</v>
      </c>
      <c r="F108" s="23" t="s">
        <v>455</v>
      </c>
      <c r="G108" s="23" t="s">
        <v>122</v>
      </c>
      <c r="H108" s="25">
        <v>3</v>
      </c>
      <c r="I108" s="2"/>
      <c r="J108" s="26"/>
      <c r="K108" s="27">
        <f t="shared" si="3"/>
        <v>0</v>
      </c>
      <c r="L108" s="27"/>
      <c r="M108" s="27"/>
      <c r="N108" s="2">
        <v>1</v>
      </c>
      <c r="O108" s="27">
        <f t="shared" si="5"/>
        <v>0</v>
      </c>
      <c r="P108" s="27"/>
      <c r="Q108" s="27"/>
      <c r="R108" s="20"/>
    </row>
    <row r="109" spans="1:38" ht="15" customHeight="1">
      <c r="A109" s="24">
        <v>53</v>
      </c>
      <c r="B109" s="23" t="s">
        <v>306</v>
      </c>
      <c r="C109" s="24" t="s">
        <v>18</v>
      </c>
      <c r="D109" s="23"/>
      <c r="E109" s="23" t="s">
        <v>104</v>
      </c>
      <c r="F109" s="23" t="s">
        <v>417</v>
      </c>
      <c r="G109" s="23" t="s">
        <v>142</v>
      </c>
      <c r="H109" s="25">
        <v>8</v>
      </c>
      <c r="I109" s="2">
        <v>2</v>
      </c>
      <c r="J109" s="26">
        <v>2</v>
      </c>
      <c r="K109" s="27">
        <v>0</v>
      </c>
      <c r="L109" s="27"/>
      <c r="M109" s="27"/>
      <c r="N109" s="2"/>
      <c r="O109" s="27">
        <v>0</v>
      </c>
      <c r="P109" s="27"/>
      <c r="Q109" s="27"/>
      <c r="R109" s="20"/>
    </row>
    <row r="110" spans="1:38" ht="15" customHeight="1">
      <c r="A110" s="24"/>
      <c r="B110" s="23" t="s">
        <v>306</v>
      </c>
      <c r="C110" s="24" t="s">
        <v>30</v>
      </c>
      <c r="D110" s="23" t="s">
        <v>334</v>
      </c>
      <c r="E110" s="23" t="s">
        <v>104</v>
      </c>
      <c r="F110" s="23" t="s">
        <v>340</v>
      </c>
      <c r="G110" s="23" t="s">
        <v>131</v>
      </c>
      <c r="H110" s="25">
        <v>7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20"/>
    </row>
    <row r="111" spans="1:38" ht="15" customHeight="1">
      <c r="A111" s="24"/>
      <c r="B111" s="23" t="s">
        <v>306</v>
      </c>
      <c r="C111" s="24" t="s">
        <v>30</v>
      </c>
      <c r="D111" s="23" t="s">
        <v>307</v>
      </c>
      <c r="E111" s="23" t="s">
        <v>19</v>
      </c>
      <c r="F111" s="23" t="s">
        <v>350</v>
      </c>
      <c r="G111" s="23" t="s">
        <v>122</v>
      </c>
      <c r="H111" s="25">
        <v>5</v>
      </c>
      <c r="I111" s="2">
        <v>1</v>
      </c>
      <c r="J111" s="26">
        <v>1</v>
      </c>
      <c r="K111" s="27">
        <f t="shared" si="3"/>
        <v>0</v>
      </c>
      <c r="L111" s="27"/>
      <c r="M111" s="27"/>
      <c r="N111" s="2"/>
      <c r="O111" s="27">
        <f t="shared" si="5"/>
        <v>0</v>
      </c>
      <c r="P111" s="27"/>
      <c r="Q111" s="27"/>
      <c r="R111" s="20"/>
    </row>
    <row r="112" spans="1:38" ht="30.75" customHeight="1">
      <c r="A112" s="24">
        <v>54</v>
      </c>
      <c r="B112" s="23" t="s">
        <v>78</v>
      </c>
      <c r="C112" s="24" t="s">
        <v>18</v>
      </c>
      <c r="D112" s="23" t="s">
        <v>276</v>
      </c>
      <c r="E112" s="23" t="s">
        <v>19</v>
      </c>
      <c r="F112" s="23" t="s">
        <v>418</v>
      </c>
      <c r="G112" s="23" t="s">
        <v>142</v>
      </c>
      <c r="H112" s="25">
        <v>15</v>
      </c>
      <c r="I112" s="1">
        <v>11</v>
      </c>
      <c r="J112" s="26">
        <v>11</v>
      </c>
      <c r="K112" s="27">
        <f t="shared" si="3"/>
        <v>0</v>
      </c>
      <c r="L112" s="27"/>
      <c r="M112" s="27"/>
      <c r="N112" s="1">
        <v>4</v>
      </c>
      <c r="O112" s="27">
        <f t="shared" si="4"/>
        <v>0</v>
      </c>
      <c r="P112" s="27"/>
      <c r="Q112" s="27"/>
      <c r="R112" s="20"/>
    </row>
    <row r="113" spans="1:38" s="7" customFormat="1" ht="15" customHeight="1">
      <c r="A113" s="24"/>
      <c r="B113" s="23" t="s">
        <v>78</v>
      </c>
      <c r="C113" s="24" t="s">
        <v>18</v>
      </c>
      <c r="D113" s="23"/>
      <c r="E113" s="23" t="s">
        <v>19</v>
      </c>
      <c r="F113" s="23" t="s">
        <v>120</v>
      </c>
      <c r="G113" s="23" t="s">
        <v>131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20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 spans="1:38" ht="15" customHeight="1">
      <c r="A114" s="24"/>
      <c r="B114" s="23" t="s">
        <v>78</v>
      </c>
      <c r="C114" s="24" t="s">
        <v>18</v>
      </c>
      <c r="D114" s="23"/>
      <c r="E114" s="23" t="s">
        <v>19</v>
      </c>
      <c r="F114" s="23" t="s">
        <v>120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</row>
    <row r="115" spans="1:38" ht="15" customHeight="1">
      <c r="A115" s="24">
        <v>55</v>
      </c>
      <c r="B115" s="23" t="s">
        <v>79</v>
      </c>
      <c r="C115" s="24" t="s">
        <v>18</v>
      </c>
      <c r="D115" s="23"/>
      <c r="E115" s="23" t="s">
        <v>19</v>
      </c>
      <c r="F115" s="23"/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</row>
    <row r="116" spans="1:38" ht="15" customHeight="1">
      <c r="A116" s="24">
        <v>56</v>
      </c>
      <c r="B116" s="23" t="s">
        <v>80</v>
      </c>
      <c r="C116" s="24" t="s">
        <v>18</v>
      </c>
      <c r="D116" s="23"/>
      <c r="E116" s="23" t="s">
        <v>19</v>
      </c>
      <c r="F116" s="23" t="s">
        <v>419</v>
      </c>
      <c r="G116" s="23" t="s">
        <v>142</v>
      </c>
      <c r="H116" s="25">
        <v>13</v>
      </c>
      <c r="I116" s="1">
        <v>9</v>
      </c>
      <c r="J116" s="26">
        <v>10</v>
      </c>
      <c r="K116" s="27">
        <f t="shared" si="3"/>
        <v>0</v>
      </c>
      <c r="L116" s="27"/>
      <c r="M116" s="27"/>
      <c r="N116" s="1">
        <v>6</v>
      </c>
      <c r="O116" s="27">
        <f t="shared" si="4"/>
        <v>0</v>
      </c>
      <c r="P116" s="27"/>
      <c r="Q116" s="27"/>
      <c r="R116" s="20"/>
    </row>
    <row r="117" spans="1:38" s="7" customFormat="1" ht="15" customHeight="1">
      <c r="A117" s="24"/>
      <c r="B117" s="23" t="s">
        <v>80</v>
      </c>
      <c r="C117" s="24" t="s">
        <v>18</v>
      </c>
      <c r="D117" s="23"/>
      <c r="E117" s="23" t="s">
        <v>19</v>
      </c>
      <c r="F117" s="23" t="s">
        <v>120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s="7" customFormat="1" ht="15" customHeight="1">
      <c r="A118" s="24">
        <v>57</v>
      </c>
      <c r="B118" s="23" t="s">
        <v>372</v>
      </c>
      <c r="C118" s="24" t="s">
        <v>18</v>
      </c>
      <c r="D118" s="23"/>
      <c r="E118" s="23" t="s">
        <v>19</v>
      </c>
      <c r="F118" s="23" t="s">
        <v>420</v>
      </c>
      <c r="G118" s="23" t="s">
        <v>142</v>
      </c>
      <c r="H118" s="25">
        <v>7</v>
      </c>
      <c r="I118" s="1"/>
      <c r="J118" s="26"/>
      <c r="K118" s="27">
        <v>0</v>
      </c>
      <c r="L118" s="27"/>
      <c r="M118" s="27"/>
      <c r="N118" s="1"/>
      <c r="O118" s="27">
        <v>0</v>
      </c>
      <c r="P118" s="27"/>
      <c r="Q118" s="27"/>
      <c r="R118" s="20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 spans="1:38" s="7" customFormat="1" ht="15" customHeight="1">
      <c r="A119" s="24">
        <v>58</v>
      </c>
      <c r="B119" s="23" t="s">
        <v>313</v>
      </c>
      <c r="C119" s="24" t="s">
        <v>18</v>
      </c>
      <c r="D119" s="23"/>
      <c r="E119" s="23"/>
      <c r="F119" s="23" t="s">
        <v>342</v>
      </c>
      <c r="G119" s="23" t="s">
        <v>131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/>
      <c r="B120" s="23" t="s">
        <v>313</v>
      </c>
      <c r="C120" s="24" t="s">
        <v>18</v>
      </c>
      <c r="D120" s="23"/>
      <c r="E120" s="23" t="s">
        <v>41</v>
      </c>
      <c r="F120" s="23" t="s">
        <v>366</v>
      </c>
      <c r="G120" s="23" t="s">
        <v>136</v>
      </c>
      <c r="H120" s="25">
        <v>8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373</v>
      </c>
      <c r="C121" s="24" t="s">
        <v>52</v>
      </c>
      <c r="D121" s="23" t="s">
        <v>378</v>
      </c>
      <c r="E121" s="23" t="s">
        <v>104</v>
      </c>
      <c r="F121" s="23" t="s">
        <v>422</v>
      </c>
      <c r="G121" s="23" t="s">
        <v>142</v>
      </c>
      <c r="H121" s="25">
        <v>4</v>
      </c>
      <c r="I121" s="1"/>
      <c r="J121" s="26"/>
      <c r="K121" s="27">
        <v>0</v>
      </c>
      <c r="L121" s="27"/>
      <c r="M121" s="27"/>
      <c r="N121" s="1"/>
      <c r="O121" s="27"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ht="15" customHeight="1">
      <c r="A122" s="24">
        <v>60</v>
      </c>
      <c r="B122" s="23" t="s">
        <v>81</v>
      </c>
      <c r="C122" s="24" t="s">
        <v>18</v>
      </c>
      <c r="D122" s="23"/>
      <c r="E122" s="23" t="s">
        <v>19</v>
      </c>
      <c r="F122" s="23" t="s">
        <v>421</v>
      </c>
      <c r="G122" s="23" t="s">
        <v>142</v>
      </c>
      <c r="H122" s="25">
        <v>4</v>
      </c>
      <c r="I122" s="1"/>
      <c r="J122" s="26"/>
      <c r="K122" s="27">
        <f t="shared" si="3"/>
        <v>0</v>
      </c>
      <c r="L122" s="27"/>
      <c r="M122" s="27"/>
      <c r="N122" s="1">
        <v>4</v>
      </c>
      <c r="O122" s="27">
        <f t="shared" si="4"/>
        <v>2479.17</v>
      </c>
      <c r="P122" s="27">
        <v>2479.17</v>
      </c>
      <c r="Q122" s="27"/>
      <c r="R122" s="20"/>
    </row>
    <row r="123" spans="1:38" ht="15" customHeight="1">
      <c r="A123" s="24"/>
      <c r="B123" s="23" t="s">
        <v>81</v>
      </c>
      <c r="C123" s="24" t="s">
        <v>18</v>
      </c>
      <c r="D123" s="23"/>
      <c r="E123" s="23" t="s">
        <v>19</v>
      </c>
      <c r="F123" s="23" t="s">
        <v>453</v>
      </c>
      <c r="G123" s="23" t="s">
        <v>122</v>
      </c>
      <c r="H123" s="25">
        <v>1</v>
      </c>
      <c r="I123" s="1"/>
      <c r="J123" s="26"/>
      <c r="K123" s="27">
        <f t="shared" si="3"/>
        <v>0</v>
      </c>
      <c r="L123" s="27"/>
      <c r="M123" s="27"/>
      <c r="N123" s="1">
        <v>1</v>
      </c>
      <c r="O123" s="27">
        <f t="shared" si="4"/>
        <v>0</v>
      </c>
      <c r="P123" s="27"/>
      <c r="Q123" s="27"/>
      <c r="R123" s="20"/>
    </row>
    <row r="124" spans="1:38" s="7" customFormat="1" ht="15" customHeight="1">
      <c r="A124" s="24">
        <v>61</v>
      </c>
      <c r="B124" s="23" t="s">
        <v>82</v>
      </c>
      <c r="C124" s="24" t="s">
        <v>18</v>
      </c>
      <c r="D124" s="23"/>
      <c r="E124" s="23" t="s">
        <v>19</v>
      </c>
      <c r="F124" s="23" t="s">
        <v>423</v>
      </c>
      <c r="G124" s="23" t="s">
        <v>142</v>
      </c>
      <c r="H124" s="25">
        <v>10</v>
      </c>
      <c r="I124" s="1">
        <v>10</v>
      </c>
      <c r="J124" s="26">
        <v>10</v>
      </c>
      <c r="K124" s="27">
        <f t="shared" si="3"/>
        <v>0</v>
      </c>
      <c r="L124" s="27"/>
      <c r="M124" s="27"/>
      <c r="N124" s="1">
        <v>7</v>
      </c>
      <c r="O124" s="27">
        <f t="shared" si="4"/>
        <v>7901.7</v>
      </c>
      <c r="P124" s="27">
        <v>7901.7</v>
      </c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s="7" customFormat="1" ht="15" customHeight="1">
      <c r="A125" s="24"/>
      <c r="B125" s="23" t="s">
        <v>82</v>
      </c>
      <c r="C125" s="24" t="s">
        <v>18</v>
      </c>
      <c r="D125" s="23"/>
      <c r="E125" s="23" t="s">
        <v>19</v>
      </c>
      <c r="F125" s="23" t="s">
        <v>295</v>
      </c>
      <c r="G125" s="23" t="s">
        <v>122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>
        <v>2</v>
      </c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4.45" customHeight="1">
      <c r="A126" s="24">
        <v>62</v>
      </c>
      <c r="B126" s="23" t="s">
        <v>83</v>
      </c>
      <c r="C126" s="24" t="s">
        <v>30</v>
      </c>
      <c r="D126" s="23" t="s">
        <v>184</v>
      </c>
      <c r="E126" s="23" t="s">
        <v>19</v>
      </c>
      <c r="F126" s="23" t="s">
        <v>424</v>
      </c>
      <c r="G126" s="23" t="s">
        <v>142</v>
      </c>
      <c r="H126" s="25">
        <v>32</v>
      </c>
      <c r="I126" s="1">
        <v>27</v>
      </c>
      <c r="J126" s="26">
        <v>27</v>
      </c>
      <c r="K126" s="27">
        <f t="shared" si="3"/>
        <v>0</v>
      </c>
      <c r="L126" s="27"/>
      <c r="M126" s="27"/>
      <c r="N126" s="1">
        <v>10</v>
      </c>
      <c r="O126" s="27">
        <f t="shared" si="4"/>
        <v>4741.68</v>
      </c>
      <c r="P126" s="27">
        <v>4741.68</v>
      </c>
      <c r="Q126" s="27"/>
      <c r="R126" s="20"/>
    </row>
    <row r="127" spans="1:38" ht="14.45" customHeight="1">
      <c r="A127" s="24">
        <v>63</v>
      </c>
      <c r="B127" s="23" t="s">
        <v>303</v>
      </c>
      <c r="C127" s="24" t="s">
        <v>18</v>
      </c>
      <c r="D127" s="23"/>
      <c r="E127" s="23" t="s">
        <v>304</v>
      </c>
      <c r="F127" s="23" t="s">
        <v>298</v>
      </c>
      <c r="G127" s="23" t="s">
        <v>131</v>
      </c>
      <c r="H127" s="25">
        <v>8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s="7" customFormat="1" ht="15" customHeight="1">
      <c r="A128" s="24">
        <v>64</v>
      </c>
      <c r="B128" s="23" t="s">
        <v>84</v>
      </c>
      <c r="C128" s="24" t="s">
        <v>18</v>
      </c>
      <c r="D128" s="23"/>
      <c r="E128" s="23" t="s">
        <v>19</v>
      </c>
      <c r="F128" s="23" t="s">
        <v>425</v>
      </c>
      <c r="G128" s="23" t="s">
        <v>142</v>
      </c>
      <c r="H128" s="25">
        <v>14</v>
      </c>
      <c r="I128" s="1">
        <v>10</v>
      </c>
      <c r="J128" s="26">
        <v>10</v>
      </c>
      <c r="K128" s="27">
        <f t="shared" si="3"/>
        <v>0</v>
      </c>
      <c r="L128" s="27"/>
      <c r="M128" s="27"/>
      <c r="N128" s="1">
        <v>9</v>
      </c>
      <c r="O128" s="27">
        <f t="shared" si="4"/>
        <v>3710.9</v>
      </c>
      <c r="P128" s="27">
        <f>919.46+2791.44</f>
        <v>3710.9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ht="15" customHeight="1">
      <c r="A129" s="24"/>
      <c r="B129" s="23" t="s">
        <v>84</v>
      </c>
      <c r="C129" s="24" t="s">
        <v>18</v>
      </c>
      <c r="D129" s="23"/>
      <c r="E129" s="23" t="s">
        <v>19</v>
      </c>
      <c r="F129" s="23" t="s">
        <v>123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65</v>
      </c>
      <c r="B130" s="23" t="s">
        <v>85</v>
      </c>
      <c r="C130" s="24" t="s">
        <v>18</v>
      </c>
      <c r="D130" s="23"/>
      <c r="E130" s="23" t="s">
        <v>77</v>
      </c>
      <c r="F130" s="23" t="s">
        <v>426</v>
      </c>
      <c r="G130" s="23" t="s">
        <v>142</v>
      </c>
      <c r="H130" s="25">
        <v>15</v>
      </c>
      <c r="I130" s="1">
        <v>4</v>
      </c>
      <c r="J130" s="26">
        <v>4</v>
      </c>
      <c r="K130" s="27">
        <f t="shared" si="3"/>
        <v>0</v>
      </c>
      <c r="L130" s="27"/>
      <c r="M130" s="27"/>
      <c r="N130" s="1">
        <v>14</v>
      </c>
      <c r="O130" s="27">
        <f t="shared" si="4"/>
        <v>0</v>
      </c>
      <c r="P130" s="27"/>
      <c r="Q130" s="27"/>
      <c r="R130" s="20"/>
    </row>
    <row r="131" spans="1:38" ht="15" customHeight="1">
      <c r="A131" s="24"/>
      <c r="B131" s="23" t="s">
        <v>85</v>
      </c>
      <c r="C131" s="24" t="s">
        <v>18</v>
      </c>
      <c r="D131" s="23"/>
      <c r="E131" s="23" t="s">
        <v>301</v>
      </c>
      <c r="F131" s="23" t="s">
        <v>337</v>
      </c>
      <c r="G131" s="23" t="s">
        <v>131</v>
      </c>
      <c r="H131" s="25">
        <v>24</v>
      </c>
      <c r="I131" s="1">
        <v>2</v>
      </c>
      <c r="J131" s="26">
        <v>2</v>
      </c>
      <c r="K131" s="27">
        <f t="shared" si="3"/>
        <v>0</v>
      </c>
      <c r="L131" s="27"/>
      <c r="M131" s="27"/>
      <c r="N131" s="1">
        <v>5</v>
      </c>
      <c r="O131" s="27">
        <f t="shared" si="4"/>
        <v>462.53</v>
      </c>
      <c r="P131" s="27">
        <v>462.53</v>
      </c>
      <c r="Q131" s="27"/>
      <c r="R131" s="20"/>
    </row>
    <row r="132" spans="1:38" ht="15" customHeight="1">
      <c r="A132" s="24">
        <v>66</v>
      </c>
      <c r="B132" s="23" t="s">
        <v>86</v>
      </c>
      <c r="C132" s="24" t="s">
        <v>18</v>
      </c>
      <c r="D132" s="23"/>
      <c r="E132" s="23" t="s">
        <v>77</v>
      </c>
      <c r="F132" s="23" t="s">
        <v>427</v>
      </c>
      <c r="G132" s="23" t="s">
        <v>142</v>
      </c>
      <c r="H132" s="25">
        <v>13</v>
      </c>
      <c r="I132" s="1">
        <v>3</v>
      </c>
      <c r="J132" s="26">
        <v>3</v>
      </c>
      <c r="K132" s="27">
        <f t="shared" si="3"/>
        <v>0</v>
      </c>
      <c r="L132" s="27"/>
      <c r="M132" s="27"/>
      <c r="N132" s="1">
        <v>8</v>
      </c>
      <c r="O132" s="27">
        <f t="shared" si="4"/>
        <v>9188.7999999999993</v>
      </c>
      <c r="P132" s="27">
        <f>1359.87+2464.36+5364.57</f>
        <v>9188.7999999999993</v>
      </c>
      <c r="Q132" s="27"/>
      <c r="R132" s="20"/>
    </row>
    <row r="133" spans="1:38" ht="15" customHeight="1">
      <c r="A133" s="24"/>
      <c r="B133" s="23" t="s">
        <v>86</v>
      </c>
      <c r="C133" s="24" t="s">
        <v>18</v>
      </c>
      <c r="D133" s="23"/>
      <c r="E133" s="23" t="s">
        <v>301</v>
      </c>
      <c r="F133" s="23" t="s">
        <v>338</v>
      </c>
      <c r="G133" s="23" t="s">
        <v>131</v>
      </c>
      <c r="H133" s="25">
        <v>1</v>
      </c>
      <c r="I133" s="1"/>
      <c r="J133" s="26"/>
      <c r="K133" s="27">
        <f t="shared" si="3"/>
        <v>0</v>
      </c>
      <c r="L133" s="27"/>
      <c r="M133" s="27"/>
      <c r="N133" s="1">
        <v>2</v>
      </c>
      <c r="O133" s="27">
        <f t="shared" si="4"/>
        <v>0</v>
      </c>
      <c r="P133" s="27"/>
      <c r="Q133" s="27"/>
      <c r="R133" s="20"/>
    </row>
    <row r="134" spans="1:38" ht="28.9" customHeight="1">
      <c r="A134" s="29">
        <v>67</v>
      </c>
      <c r="B134" s="30" t="s">
        <v>87</v>
      </c>
      <c r="C134" s="29" t="s">
        <v>52</v>
      </c>
      <c r="D134" s="30" t="s">
        <v>88</v>
      </c>
      <c r="E134" s="30" t="s">
        <v>19</v>
      </c>
      <c r="F134" s="30" t="s">
        <v>292</v>
      </c>
      <c r="G134" s="30" t="s">
        <v>142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>
        <v>1</v>
      </c>
      <c r="O134" s="27">
        <f t="shared" si="4"/>
        <v>0</v>
      </c>
      <c r="P134" s="27"/>
      <c r="Q134" s="27"/>
      <c r="R134" s="20"/>
    </row>
    <row r="135" spans="1:38" ht="29.25" customHeight="1">
      <c r="A135" s="29"/>
      <c r="B135" s="30" t="s">
        <v>87</v>
      </c>
      <c r="C135" s="29" t="s">
        <v>52</v>
      </c>
      <c r="D135" s="30" t="s">
        <v>88</v>
      </c>
      <c r="E135" s="30" t="s">
        <v>19</v>
      </c>
      <c r="F135" s="30" t="s">
        <v>376</v>
      </c>
      <c r="G135" s="30" t="s">
        <v>122</v>
      </c>
      <c r="H135" s="25">
        <v>9</v>
      </c>
      <c r="I135" s="1"/>
      <c r="J135" s="26"/>
      <c r="K135" s="27">
        <f t="shared" si="3"/>
        <v>0</v>
      </c>
      <c r="L135" s="27"/>
      <c r="M135" s="27"/>
      <c r="N135" s="1">
        <v>1</v>
      </c>
      <c r="O135" s="27">
        <f t="shared" si="4"/>
        <v>440.5</v>
      </c>
      <c r="P135" s="27">
        <v>440.5</v>
      </c>
      <c r="Q135" s="27"/>
      <c r="R135" s="20"/>
    </row>
    <row r="136" spans="1:38" ht="26.25" customHeight="1">
      <c r="A136" s="24">
        <v>68</v>
      </c>
      <c r="B136" s="23" t="s">
        <v>89</v>
      </c>
      <c r="C136" s="24" t="s">
        <v>18</v>
      </c>
      <c r="D136" s="23"/>
      <c r="E136" s="23" t="s">
        <v>19</v>
      </c>
      <c r="F136" s="23" t="s">
        <v>428</v>
      </c>
      <c r="G136" s="23" t="s">
        <v>142</v>
      </c>
      <c r="H136" s="25">
        <v>4</v>
      </c>
      <c r="I136" s="1">
        <v>1</v>
      </c>
      <c r="J136" s="26">
        <v>1</v>
      </c>
      <c r="K136" s="27">
        <f t="shared" si="3"/>
        <v>0</v>
      </c>
      <c r="L136" s="27"/>
      <c r="M136" s="27"/>
      <c r="N136" s="1">
        <v>7</v>
      </c>
      <c r="O136" s="27">
        <f t="shared" si="4"/>
        <v>1217</v>
      </c>
      <c r="P136" s="27">
        <v>1217</v>
      </c>
      <c r="Q136" s="27"/>
      <c r="R136" s="20"/>
    </row>
    <row r="137" spans="1:38" s="7" customFormat="1" ht="15" customHeight="1">
      <c r="A137" s="24"/>
      <c r="B137" s="23" t="s">
        <v>89</v>
      </c>
      <c r="C137" s="24" t="s">
        <v>18</v>
      </c>
      <c r="D137" s="23"/>
      <c r="E137" s="23" t="s">
        <v>19</v>
      </c>
      <c r="F137" s="23" t="s">
        <v>454</v>
      </c>
      <c r="G137" s="23" t="s">
        <v>122</v>
      </c>
      <c r="H137" s="25">
        <v>2</v>
      </c>
      <c r="I137" s="1"/>
      <c r="J137" s="26"/>
      <c r="K137" s="27">
        <f t="shared" si="3"/>
        <v>0</v>
      </c>
      <c r="L137" s="27"/>
      <c r="M137" s="27"/>
      <c r="N137" s="1">
        <v>1</v>
      </c>
      <c r="O137" s="27">
        <f t="shared" si="4"/>
        <v>0</v>
      </c>
      <c r="P137" s="27"/>
      <c r="Q137" s="27"/>
      <c r="R137" s="20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 spans="1:38" ht="15" customHeight="1">
      <c r="A138" s="24">
        <v>69</v>
      </c>
      <c r="B138" s="23" t="s">
        <v>90</v>
      </c>
      <c r="C138" s="24" t="s">
        <v>18</v>
      </c>
      <c r="D138" s="23"/>
      <c r="E138" s="23" t="s">
        <v>19</v>
      </c>
      <c r="F138" s="23" t="s">
        <v>429</v>
      </c>
      <c r="G138" s="23" t="s">
        <v>142</v>
      </c>
      <c r="H138" s="25">
        <v>5</v>
      </c>
      <c r="I138" s="1">
        <v>3</v>
      </c>
      <c r="J138" s="26">
        <v>3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20"/>
    </row>
    <row r="139" spans="1:38" s="7" customFormat="1" ht="15" customHeight="1">
      <c r="A139" s="24">
        <v>70</v>
      </c>
      <c r="B139" s="23" t="s">
        <v>91</v>
      </c>
      <c r="C139" s="24" t="s">
        <v>18</v>
      </c>
      <c r="D139" s="23"/>
      <c r="E139" s="23" t="s">
        <v>92</v>
      </c>
      <c r="F139" s="23" t="s">
        <v>292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11</v>
      </c>
      <c r="O139" s="27">
        <f t="shared" si="4"/>
        <v>0</v>
      </c>
      <c r="P139" s="27"/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s="7" customFormat="1" ht="15" customHeight="1">
      <c r="A140" s="24"/>
      <c r="B140" s="23" t="s">
        <v>91</v>
      </c>
      <c r="C140" s="24" t="s">
        <v>18</v>
      </c>
      <c r="D140" s="23"/>
      <c r="E140" s="23" t="s">
        <v>92</v>
      </c>
      <c r="F140" s="23" t="s">
        <v>123</v>
      </c>
      <c r="G140" s="23" t="s">
        <v>136</v>
      </c>
      <c r="H140" s="25">
        <v>0</v>
      </c>
      <c r="I140" s="2"/>
      <c r="J140" s="26"/>
      <c r="K140" s="27">
        <f t="shared" si="3"/>
        <v>0</v>
      </c>
      <c r="L140" s="27"/>
      <c r="M140" s="27"/>
      <c r="N140" s="2">
        <v>4</v>
      </c>
      <c r="O140" s="27">
        <f t="shared" si="4"/>
        <v>0</v>
      </c>
      <c r="P140" s="27"/>
      <c r="Q140" s="27"/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15" customHeight="1">
      <c r="A141" s="24">
        <v>71</v>
      </c>
      <c r="B141" s="23" t="s">
        <v>93</v>
      </c>
      <c r="C141" s="24" t="s">
        <v>18</v>
      </c>
      <c r="D141" s="23"/>
      <c r="E141" s="23" t="s">
        <v>19</v>
      </c>
      <c r="F141" s="23" t="s">
        <v>123</v>
      </c>
      <c r="G141" s="23" t="s">
        <v>142</v>
      </c>
      <c r="H141" s="25">
        <v>0</v>
      </c>
      <c r="I141" s="2"/>
      <c r="J141" s="26"/>
      <c r="K141" s="27">
        <f t="shared" si="3"/>
        <v>0</v>
      </c>
      <c r="L141" s="27"/>
      <c r="M141" s="27"/>
      <c r="N141" s="2">
        <v>1</v>
      </c>
      <c r="O141" s="27">
        <f t="shared" si="4"/>
        <v>0</v>
      </c>
      <c r="P141" s="27"/>
      <c r="Q141" s="27"/>
      <c r="R141" s="20"/>
    </row>
    <row r="142" spans="1:38" s="17" customFormat="1" ht="15" customHeight="1">
      <c r="A142" s="24"/>
      <c r="B142" s="23" t="s">
        <v>93</v>
      </c>
      <c r="C142" s="24" t="s">
        <v>18</v>
      </c>
      <c r="D142" s="23"/>
      <c r="E142" s="23" t="s">
        <v>19</v>
      </c>
      <c r="F142" s="23" t="s">
        <v>120</v>
      </c>
      <c r="G142" s="23" t="s">
        <v>131</v>
      </c>
      <c r="H142" s="25">
        <v>0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</row>
    <row r="143" spans="1:38" ht="15" customHeight="1">
      <c r="A143" s="24"/>
      <c r="B143" s="23" t="s">
        <v>93</v>
      </c>
      <c r="C143" s="24" t="s">
        <v>18</v>
      </c>
      <c r="D143" s="23"/>
      <c r="E143" s="23"/>
      <c r="F143" s="23" t="s">
        <v>268</v>
      </c>
      <c r="G143" s="23" t="s">
        <v>122</v>
      </c>
      <c r="H143" s="25">
        <v>6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792.9</v>
      </c>
      <c r="P143" s="27"/>
      <c r="Q143" s="27">
        <v>792.9</v>
      </c>
      <c r="R143" s="20"/>
    </row>
    <row r="144" spans="1:38" ht="15" customHeight="1">
      <c r="A144" s="24">
        <v>72</v>
      </c>
      <c r="B144" s="23" t="s">
        <v>281</v>
      </c>
      <c r="C144" s="24" t="s">
        <v>18</v>
      </c>
      <c r="D144" s="23"/>
      <c r="E144" s="23" t="s">
        <v>19</v>
      </c>
      <c r="F144" s="23" t="s">
        <v>430</v>
      </c>
      <c r="G144" s="23" t="s">
        <v>142</v>
      </c>
      <c r="H144" s="25">
        <v>6</v>
      </c>
      <c r="I144" s="1">
        <v>4</v>
      </c>
      <c r="J144" s="26">
        <v>4</v>
      </c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281</v>
      </c>
      <c r="C145" s="24" t="s">
        <v>18</v>
      </c>
      <c r="D145" s="23"/>
      <c r="E145" s="23" t="s">
        <v>19</v>
      </c>
      <c r="F145" s="23" t="s">
        <v>285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0</v>
      </c>
      <c r="P145" s="27"/>
      <c r="Q145" s="27"/>
      <c r="R145" s="20"/>
    </row>
    <row r="146" spans="1:38" ht="15" customHeight="1">
      <c r="A146" s="24"/>
      <c r="B146" s="23" t="s">
        <v>281</v>
      </c>
      <c r="C146" s="24" t="s">
        <v>18</v>
      </c>
      <c r="D146" s="23"/>
      <c r="E146" s="23" t="s">
        <v>19</v>
      </c>
      <c r="F146" s="23" t="s">
        <v>349</v>
      </c>
      <c r="G146" s="23" t="s">
        <v>122</v>
      </c>
      <c r="H146" s="25">
        <v>13</v>
      </c>
      <c r="I146" s="1"/>
      <c r="J146" s="26"/>
      <c r="K146" s="27">
        <f t="shared" si="3"/>
        <v>0</v>
      </c>
      <c r="L146" s="27"/>
      <c r="M146" s="27"/>
      <c r="N146" s="1">
        <v>2</v>
      </c>
      <c r="O146" s="27">
        <f t="shared" si="4"/>
        <v>1019.74</v>
      </c>
      <c r="P146" s="27">
        <v>1019.74</v>
      </c>
      <c r="Q146" s="27"/>
      <c r="R146" s="20"/>
    </row>
    <row r="147" spans="1:38" ht="15" customHeight="1">
      <c r="A147" s="24">
        <v>73</v>
      </c>
      <c r="B147" s="23" t="s">
        <v>94</v>
      </c>
      <c r="C147" s="24" t="s">
        <v>18</v>
      </c>
      <c r="D147" s="23"/>
      <c r="E147" s="23" t="s">
        <v>95</v>
      </c>
      <c r="F147" s="23" t="s">
        <v>431</v>
      </c>
      <c r="G147" s="23" t="s">
        <v>142</v>
      </c>
      <c r="H147" s="25">
        <v>17</v>
      </c>
      <c r="I147" s="1">
        <v>4</v>
      </c>
      <c r="J147" s="26">
        <v>6</v>
      </c>
      <c r="K147" s="27">
        <f t="shared" si="3"/>
        <v>0</v>
      </c>
      <c r="L147" s="27"/>
      <c r="M147" s="27"/>
      <c r="N147" s="1">
        <v>6</v>
      </c>
      <c r="O147" s="27">
        <f t="shared" si="4"/>
        <v>5675.37</v>
      </c>
      <c r="P147" s="27">
        <v>5675.37</v>
      </c>
      <c r="Q147" s="27"/>
      <c r="R147" s="20"/>
    </row>
    <row r="148" spans="1:38" s="7" customFormat="1" ht="15" customHeight="1">
      <c r="A148" s="24"/>
      <c r="B148" s="23" t="s">
        <v>128</v>
      </c>
      <c r="C148" s="24" t="s">
        <v>18</v>
      </c>
      <c r="D148" s="23"/>
      <c r="E148" s="23" t="s">
        <v>95</v>
      </c>
      <c r="F148" s="23" t="s">
        <v>319</v>
      </c>
      <c r="G148" s="23" t="s">
        <v>124</v>
      </c>
      <c r="H148" s="25">
        <v>4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3942.68</v>
      </c>
      <c r="P148" s="27">
        <v>3942.68</v>
      </c>
      <c r="Q148" s="27"/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ht="15" customHeight="1">
      <c r="A149" s="24"/>
      <c r="B149" s="23" t="s">
        <v>128</v>
      </c>
      <c r="C149" s="24" t="s">
        <v>18</v>
      </c>
      <c r="D149" s="23"/>
      <c r="E149" s="23" t="s">
        <v>95</v>
      </c>
      <c r="F149" s="23" t="s">
        <v>123</v>
      </c>
      <c r="G149" s="23" t="s">
        <v>131</v>
      </c>
      <c r="H149" s="25">
        <v>0</v>
      </c>
      <c r="I149" s="2"/>
      <c r="J149" s="26"/>
      <c r="K149" s="27">
        <f t="shared" si="3"/>
        <v>0</v>
      </c>
      <c r="L149" s="27"/>
      <c r="M149" s="27"/>
      <c r="N149" s="2"/>
      <c r="O149" s="27">
        <f t="shared" si="4"/>
        <v>0</v>
      </c>
      <c r="P149" s="27"/>
      <c r="Q149" s="27"/>
      <c r="R149" s="20"/>
    </row>
    <row r="150" spans="1:38" ht="15" customHeight="1">
      <c r="A150" s="24">
        <v>74</v>
      </c>
      <c r="B150" s="23" t="s">
        <v>96</v>
      </c>
      <c r="C150" s="24" t="s">
        <v>18</v>
      </c>
      <c r="D150" s="23"/>
      <c r="E150" s="23" t="s">
        <v>19</v>
      </c>
      <c r="F150" s="23" t="s">
        <v>432</v>
      </c>
      <c r="G150" s="23" t="s">
        <v>142</v>
      </c>
      <c r="H150" s="25">
        <v>5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0</v>
      </c>
      <c r="P150" s="27"/>
      <c r="Q150" s="27"/>
      <c r="R150" s="20"/>
    </row>
    <row r="151" spans="1:38" ht="15" customHeight="1">
      <c r="A151" s="24"/>
      <c r="B151" s="23" t="s">
        <v>96</v>
      </c>
      <c r="C151" s="24" t="s">
        <v>18</v>
      </c>
      <c r="D151" s="23"/>
      <c r="E151" s="23" t="s">
        <v>19</v>
      </c>
      <c r="F151" s="23" t="s">
        <v>292</v>
      </c>
      <c r="G151" s="23" t="s">
        <v>131</v>
      </c>
      <c r="H151" s="25">
        <v>0</v>
      </c>
      <c r="I151" s="1"/>
      <c r="J151" s="26"/>
      <c r="K151" s="27">
        <f t="shared" si="3"/>
        <v>0</v>
      </c>
      <c r="L151" s="27"/>
      <c r="M151" s="27"/>
      <c r="N151" s="1">
        <v>1</v>
      </c>
      <c r="O151" s="27">
        <f t="shared" si="4"/>
        <v>0</v>
      </c>
      <c r="P151" s="27"/>
      <c r="Q151" s="27"/>
      <c r="R151" s="20"/>
    </row>
    <row r="152" spans="1:38" ht="15" customHeight="1">
      <c r="A152" s="24"/>
      <c r="B152" s="23" t="s">
        <v>96</v>
      </c>
      <c r="C152" s="24" t="s">
        <v>18</v>
      </c>
      <c r="D152" s="23"/>
      <c r="E152" s="23" t="s">
        <v>19</v>
      </c>
      <c r="F152" s="23" t="s">
        <v>447</v>
      </c>
      <c r="G152" s="23" t="s">
        <v>122</v>
      </c>
      <c r="H152" s="25">
        <v>5</v>
      </c>
      <c r="I152" s="1"/>
      <c r="J152" s="26"/>
      <c r="K152" s="27">
        <f t="shared" si="3"/>
        <v>0</v>
      </c>
      <c r="L152" s="27"/>
      <c r="M152" s="27"/>
      <c r="N152" s="1">
        <v>2</v>
      </c>
      <c r="O152" s="27">
        <f t="shared" si="4"/>
        <v>0</v>
      </c>
      <c r="P152" s="27"/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2" t="s">
        <v>19</v>
      </c>
      <c r="F153" s="23" t="s">
        <v>367</v>
      </c>
      <c r="G153" s="22" t="s">
        <v>136</v>
      </c>
      <c r="H153" s="45">
        <v>4</v>
      </c>
      <c r="I153" s="1"/>
      <c r="J153" s="26"/>
      <c r="K153" s="27">
        <f t="shared" ref="K153:K199" si="6">L153+M153</f>
        <v>0</v>
      </c>
      <c r="L153" s="27"/>
      <c r="M153" s="27"/>
      <c r="N153" s="1">
        <v>2</v>
      </c>
      <c r="O153" s="27">
        <f t="shared" si="4"/>
        <v>0</v>
      </c>
      <c r="P153" s="27"/>
      <c r="Q153" s="27"/>
      <c r="R153" s="20"/>
    </row>
    <row r="154" spans="1:38" ht="15" customHeight="1">
      <c r="A154" s="24">
        <v>75</v>
      </c>
      <c r="B154" s="23" t="s">
        <v>97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3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5" customHeight="1">
      <c r="A155" s="24">
        <v>76</v>
      </c>
      <c r="B155" s="23" t="s">
        <v>98</v>
      </c>
      <c r="C155" s="24" t="s">
        <v>18</v>
      </c>
      <c r="D155" s="23"/>
      <c r="E155" s="23" t="s">
        <v>19</v>
      </c>
      <c r="F155" s="23" t="s">
        <v>433</v>
      </c>
      <c r="G155" s="23" t="s">
        <v>142</v>
      </c>
      <c r="H155" s="25">
        <v>8</v>
      </c>
      <c r="I155" s="1">
        <v>6</v>
      </c>
      <c r="J155" s="26">
        <v>7</v>
      </c>
      <c r="K155" s="27">
        <f t="shared" si="6"/>
        <v>0</v>
      </c>
      <c r="L155" s="27"/>
      <c r="M155" s="27"/>
      <c r="N155" s="1">
        <v>6</v>
      </c>
      <c r="O155" s="27">
        <f t="shared" si="4"/>
        <v>2112.7600000000002</v>
      </c>
      <c r="P155" s="27">
        <f>887.45+1225.31</f>
        <v>2112.7600000000002</v>
      </c>
      <c r="Q155" s="27"/>
      <c r="R155" s="20"/>
    </row>
    <row r="156" spans="1:38" ht="15" customHeight="1">
      <c r="A156" s="24">
        <v>77</v>
      </c>
      <c r="B156" s="23" t="s">
        <v>99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0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20"/>
    </row>
    <row r="157" spans="1:38" ht="24.6" customHeight="1">
      <c r="A157" s="29">
        <v>78</v>
      </c>
      <c r="B157" s="30" t="s">
        <v>100</v>
      </c>
      <c r="C157" s="29" t="s">
        <v>30</v>
      </c>
      <c r="D157" s="30" t="s">
        <v>101</v>
      </c>
      <c r="E157" s="30" t="s">
        <v>19</v>
      </c>
      <c r="F157" s="23" t="s">
        <v>434</v>
      </c>
      <c r="G157" s="30" t="s">
        <v>142</v>
      </c>
      <c r="H157" s="25">
        <v>2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s="7" customFormat="1" ht="29.25" customHeight="1">
      <c r="A158" s="29"/>
      <c r="B158" s="30" t="s">
        <v>100</v>
      </c>
      <c r="C158" s="29" t="s">
        <v>30</v>
      </c>
      <c r="D158" s="30" t="s">
        <v>101</v>
      </c>
      <c r="E158" s="30" t="s">
        <v>19</v>
      </c>
      <c r="F158" s="30" t="s">
        <v>292</v>
      </c>
      <c r="G158" s="30" t="s">
        <v>122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 spans="1:38" ht="26.25" customHeight="1">
      <c r="A159" s="46">
        <v>79</v>
      </c>
      <c r="B159" s="60" t="s">
        <v>144</v>
      </c>
      <c r="C159" s="46" t="s">
        <v>18</v>
      </c>
      <c r="D159" s="60"/>
      <c r="E159" s="60" t="s">
        <v>104</v>
      </c>
      <c r="F159" s="60" t="s">
        <v>120</v>
      </c>
      <c r="G159" s="60" t="s">
        <v>142</v>
      </c>
      <c r="H159" s="61">
        <v>0</v>
      </c>
      <c r="I159" s="1"/>
      <c r="J159" s="26"/>
      <c r="K159" s="27">
        <f t="shared" si="6"/>
        <v>0</v>
      </c>
      <c r="L159" s="63"/>
      <c r="M159" s="63"/>
      <c r="N159" s="1"/>
      <c r="O159" s="63">
        <f t="shared" si="4"/>
        <v>0</v>
      </c>
      <c r="P159" s="63"/>
      <c r="Q159" s="63"/>
      <c r="R159" s="20"/>
    </row>
    <row r="160" spans="1:38" ht="15.75" customHeight="1">
      <c r="A160" s="24">
        <v>80</v>
      </c>
      <c r="B160" s="23" t="s">
        <v>102</v>
      </c>
      <c r="C160" s="24" t="s">
        <v>18</v>
      </c>
      <c r="D160" s="23"/>
      <c r="E160" s="23" t="s">
        <v>19</v>
      </c>
      <c r="F160" s="60" t="s">
        <v>120</v>
      </c>
      <c r="G160" s="23" t="s">
        <v>142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5" customHeight="1">
      <c r="A161" s="24">
        <v>81</v>
      </c>
      <c r="B161" s="23" t="s">
        <v>103</v>
      </c>
      <c r="C161" s="24" t="s">
        <v>18</v>
      </c>
      <c r="D161" s="23"/>
      <c r="E161" s="23" t="s">
        <v>19</v>
      </c>
      <c r="F161" s="60" t="s">
        <v>120</v>
      </c>
      <c r="G161" s="23" t="s">
        <v>142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>
        <v>1</v>
      </c>
      <c r="O161" s="27">
        <f t="shared" si="4"/>
        <v>9916.84</v>
      </c>
      <c r="P161" s="27">
        <f>1061.97+8854.87</f>
        <v>9916.84</v>
      </c>
      <c r="Q161" s="27"/>
      <c r="R161" s="20"/>
    </row>
    <row r="162" spans="1:38" ht="15" customHeight="1">
      <c r="A162" s="24"/>
      <c r="B162" s="23" t="s">
        <v>103</v>
      </c>
      <c r="C162" s="24" t="s">
        <v>18</v>
      </c>
      <c r="D162" s="23"/>
      <c r="E162" s="23" t="s">
        <v>19</v>
      </c>
      <c r="F162" s="23" t="s">
        <v>456</v>
      </c>
      <c r="G162" s="23" t="s">
        <v>122</v>
      </c>
      <c r="H162" s="25">
        <v>7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2731.1</v>
      </c>
      <c r="P162" s="27">
        <v>2731.1</v>
      </c>
      <c r="Q162" s="27"/>
      <c r="R162" s="20"/>
    </row>
    <row r="163" spans="1:38" ht="15" customHeight="1">
      <c r="A163" s="24">
        <v>82</v>
      </c>
      <c r="B163" s="23" t="s">
        <v>302</v>
      </c>
      <c r="C163" s="24" t="s">
        <v>18</v>
      </c>
      <c r="D163" s="23"/>
      <c r="E163" s="23" t="s">
        <v>19</v>
      </c>
      <c r="F163" s="23" t="s">
        <v>348</v>
      </c>
      <c r="G163" s="23" t="s">
        <v>122</v>
      </c>
      <c r="H163" s="25">
        <v>9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ht="15" customHeight="1">
      <c r="A164" s="24">
        <v>83</v>
      </c>
      <c r="B164" s="23" t="s">
        <v>328</v>
      </c>
      <c r="C164" s="24" t="s">
        <v>18</v>
      </c>
      <c r="D164" s="23"/>
      <c r="E164" s="23" t="s">
        <v>19</v>
      </c>
      <c r="F164" s="23" t="s">
        <v>347</v>
      </c>
      <c r="G164" s="23" t="s">
        <v>122</v>
      </c>
      <c r="H164" s="25">
        <v>5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20"/>
    </row>
    <row r="165" spans="1:38" ht="15" customHeight="1">
      <c r="A165" s="24">
        <v>84</v>
      </c>
      <c r="B165" s="23" t="s">
        <v>314</v>
      </c>
      <c r="C165" s="24" t="s">
        <v>18</v>
      </c>
      <c r="D165" s="23"/>
      <c r="E165" s="23" t="s">
        <v>19</v>
      </c>
      <c r="F165" s="23" t="s">
        <v>435</v>
      </c>
      <c r="G165" s="23" t="s">
        <v>142</v>
      </c>
      <c r="H165" s="25">
        <v>1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20"/>
    </row>
    <row r="166" spans="1:38" ht="15" customHeight="1">
      <c r="A166" s="24"/>
      <c r="B166" s="23" t="s">
        <v>314</v>
      </c>
      <c r="C166" s="24" t="s">
        <v>18</v>
      </c>
      <c r="D166" s="23"/>
      <c r="E166" s="23" t="s">
        <v>19</v>
      </c>
      <c r="F166" s="23" t="s">
        <v>268</v>
      </c>
      <c r="G166" s="23" t="s">
        <v>136</v>
      </c>
      <c r="H166" s="25">
        <v>3</v>
      </c>
      <c r="I166" s="1"/>
      <c r="J166" s="26"/>
      <c r="K166" s="27"/>
      <c r="L166" s="27"/>
      <c r="M166" s="27"/>
      <c r="N166" s="1"/>
      <c r="O166" s="27"/>
      <c r="P166" s="27"/>
      <c r="Q166" s="27"/>
      <c r="R166" s="20"/>
    </row>
    <row r="167" spans="1:38" ht="15" customHeight="1">
      <c r="A167" s="24">
        <v>85</v>
      </c>
      <c r="B167" s="23" t="s">
        <v>330</v>
      </c>
      <c r="C167" s="24" t="s">
        <v>18</v>
      </c>
      <c r="D167" s="23"/>
      <c r="E167" s="23" t="s">
        <v>104</v>
      </c>
      <c r="F167" s="23" t="s">
        <v>341</v>
      </c>
      <c r="G167" s="23" t="s">
        <v>131</v>
      </c>
      <c r="H167" s="25">
        <v>6</v>
      </c>
      <c r="I167" s="1"/>
      <c r="J167" s="26"/>
      <c r="K167" s="27"/>
      <c r="L167" s="27"/>
      <c r="M167" s="27"/>
      <c r="N167" s="1"/>
      <c r="O167" s="27"/>
      <c r="P167" s="27"/>
      <c r="Q167" s="27"/>
      <c r="R167" s="20"/>
    </row>
    <row r="168" spans="1:38" s="28" customFormat="1" ht="15" customHeight="1">
      <c r="A168" s="24"/>
      <c r="B168" s="23" t="s">
        <v>330</v>
      </c>
      <c r="C168" s="24" t="s">
        <v>18</v>
      </c>
      <c r="D168" s="23"/>
      <c r="E168" s="23" t="s">
        <v>19</v>
      </c>
      <c r="F168" s="23" t="s">
        <v>346</v>
      </c>
      <c r="G168" s="23" t="s">
        <v>122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38" ht="24.75" customHeight="1">
      <c r="A169" s="29">
        <v>86</v>
      </c>
      <c r="B169" s="30" t="s">
        <v>105</v>
      </c>
      <c r="C169" s="29" t="s">
        <v>30</v>
      </c>
      <c r="D169" s="30" t="s">
        <v>106</v>
      </c>
      <c r="E169" s="30" t="s">
        <v>19</v>
      </c>
      <c r="F169" s="30" t="s">
        <v>436</v>
      </c>
      <c r="G169" s="30" t="s">
        <v>142</v>
      </c>
      <c r="H169" s="25">
        <v>9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15276.04</v>
      </c>
      <c r="P169" s="27">
        <f>4712.69+2993.76+7569.59</f>
        <v>15276.04</v>
      </c>
      <c r="Q169" s="27"/>
      <c r="R169" s="20"/>
    </row>
    <row r="170" spans="1:38" ht="24.75" customHeight="1">
      <c r="A170" s="29">
        <v>87</v>
      </c>
      <c r="B170" s="30" t="s">
        <v>315</v>
      </c>
      <c r="C170" s="29" t="s">
        <v>18</v>
      </c>
      <c r="D170" s="30"/>
      <c r="E170" s="30" t="s">
        <v>19</v>
      </c>
      <c r="F170" s="30" t="s">
        <v>437</v>
      </c>
      <c r="G170" s="30" t="s">
        <v>142</v>
      </c>
      <c r="H170" s="25">
        <v>3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s="28" customFormat="1" ht="24.75" customHeight="1">
      <c r="A171" s="29"/>
      <c r="B171" s="30" t="s">
        <v>315</v>
      </c>
      <c r="C171" s="29" t="s">
        <v>18</v>
      </c>
      <c r="D171" s="30"/>
      <c r="E171" s="30" t="s">
        <v>322</v>
      </c>
      <c r="F171" s="30" t="s">
        <v>323</v>
      </c>
      <c r="G171" s="30" t="s">
        <v>124</v>
      </c>
      <c r="H171" s="25">
        <v>1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38" s="7" customFormat="1" ht="38.450000000000003" customHeight="1">
      <c r="A172" s="29">
        <v>88</v>
      </c>
      <c r="B172" s="30" t="s">
        <v>265</v>
      </c>
      <c r="C172" s="29" t="s">
        <v>18</v>
      </c>
      <c r="D172" s="30"/>
      <c r="E172" s="30" t="s">
        <v>19</v>
      </c>
      <c r="F172" s="30" t="s">
        <v>123</v>
      </c>
      <c r="G172" s="30" t="s">
        <v>142</v>
      </c>
      <c r="H172" s="25">
        <v>0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20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s="7" customFormat="1" ht="38.450000000000003" customHeight="1">
      <c r="A173" s="24">
        <v>89</v>
      </c>
      <c r="B173" s="23" t="s">
        <v>107</v>
      </c>
      <c r="C173" s="24" t="s">
        <v>18</v>
      </c>
      <c r="D173" s="23"/>
      <c r="E173" s="23" t="s">
        <v>41</v>
      </c>
      <c r="F173" s="30" t="s">
        <v>438</v>
      </c>
      <c r="G173" s="23" t="s">
        <v>142</v>
      </c>
      <c r="H173" s="25">
        <v>2</v>
      </c>
      <c r="I173" s="1"/>
      <c r="J173" s="26"/>
      <c r="K173" s="27">
        <f t="shared" si="6"/>
        <v>0</v>
      </c>
      <c r="L173" s="27"/>
      <c r="M173" s="27"/>
      <c r="N173" s="1">
        <v>1</v>
      </c>
      <c r="O173" s="27">
        <f t="shared" si="4"/>
        <v>1221.57</v>
      </c>
      <c r="P173" s="27">
        <v>1221.57</v>
      </c>
      <c r="Q173" s="27"/>
      <c r="R173" s="20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 spans="1:38" ht="15.75" customHeight="1">
      <c r="A174" s="24"/>
      <c r="B174" s="23" t="s">
        <v>107</v>
      </c>
      <c r="C174" s="24" t="s">
        <v>18</v>
      </c>
      <c r="D174" s="23"/>
      <c r="E174" s="23" t="s">
        <v>41</v>
      </c>
      <c r="F174" s="23" t="s">
        <v>295</v>
      </c>
      <c r="G174" s="23" t="s">
        <v>136</v>
      </c>
      <c r="H174" s="25">
        <v>10</v>
      </c>
      <c r="I174" s="2">
        <v>4</v>
      </c>
      <c r="J174" s="26">
        <v>4</v>
      </c>
      <c r="K174" s="27">
        <f t="shared" si="6"/>
        <v>0</v>
      </c>
      <c r="L174" s="27"/>
      <c r="M174" s="27"/>
      <c r="N174" s="2">
        <v>14</v>
      </c>
      <c r="O174" s="27">
        <f t="shared" si="4"/>
        <v>0</v>
      </c>
      <c r="P174" s="27"/>
      <c r="Q174" s="27"/>
      <c r="R174" s="20"/>
    </row>
    <row r="175" spans="1:38" ht="16.5" customHeight="1">
      <c r="A175" s="24">
        <v>90</v>
      </c>
      <c r="B175" s="23" t="s">
        <v>108</v>
      </c>
      <c r="C175" s="24" t="s">
        <v>18</v>
      </c>
      <c r="D175" s="23"/>
      <c r="E175" s="23" t="s">
        <v>19</v>
      </c>
      <c r="F175" s="23" t="s">
        <v>439</v>
      </c>
      <c r="G175" s="23" t="s">
        <v>142</v>
      </c>
      <c r="H175" s="25">
        <v>19</v>
      </c>
      <c r="I175" s="1">
        <v>14</v>
      </c>
      <c r="J175" s="26">
        <v>14</v>
      </c>
      <c r="K175" s="27">
        <f t="shared" si="6"/>
        <v>0</v>
      </c>
      <c r="L175" s="27"/>
      <c r="M175" s="27"/>
      <c r="N175" s="1">
        <v>4</v>
      </c>
      <c r="O175" s="27">
        <f t="shared" si="4"/>
        <v>5327.91</v>
      </c>
      <c r="P175" s="27">
        <v>5327.91</v>
      </c>
      <c r="Q175" s="27"/>
      <c r="R175" s="20"/>
    </row>
    <row r="176" spans="1:38" s="7" customFormat="1" ht="16.5" customHeight="1">
      <c r="A176" s="24"/>
      <c r="B176" s="23" t="s">
        <v>108</v>
      </c>
      <c r="C176" s="24" t="s">
        <v>18</v>
      </c>
      <c r="D176" s="23"/>
      <c r="E176" s="23" t="s">
        <v>19</v>
      </c>
      <c r="F176" s="23" t="s">
        <v>345</v>
      </c>
      <c r="G176" s="23" t="s">
        <v>122</v>
      </c>
      <c r="H176" s="25">
        <v>4</v>
      </c>
      <c r="I176" s="1"/>
      <c r="J176" s="26"/>
      <c r="K176" s="27">
        <f t="shared" si="6"/>
        <v>0</v>
      </c>
      <c r="L176" s="27"/>
      <c r="M176" s="27"/>
      <c r="N176" s="1">
        <v>4</v>
      </c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16.5" customHeight="1">
      <c r="A177" s="24">
        <v>91</v>
      </c>
      <c r="B177" s="23" t="s">
        <v>146</v>
      </c>
      <c r="C177" s="24" t="s">
        <v>18</v>
      </c>
      <c r="D177" s="23"/>
      <c r="E177" s="23" t="s">
        <v>104</v>
      </c>
      <c r="F177" s="23" t="s">
        <v>291</v>
      </c>
      <c r="G177" s="23" t="s">
        <v>142</v>
      </c>
      <c r="H177" s="25">
        <v>0</v>
      </c>
      <c r="I177" s="1"/>
      <c r="J177" s="26"/>
      <c r="K177" s="27">
        <f t="shared" si="6"/>
        <v>0</v>
      </c>
      <c r="L177" s="27"/>
      <c r="M177" s="27"/>
      <c r="N177" s="1">
        <v>2</v>
      </c>
      <c r="O177" s="27">
        <f t="shared" si="4"/>
        <v>2891.29</v>
      </c>
      <c r="P177" s="27">
        <v>2891.29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23.45" customHeight="1">
      <c r="A178" s="29">
        <v>92</v>
      </c>
      <c r="B178" s="30" t="s">
        <v>109</v>
      </c>
      <c r="C178" s="29" t="s">
        <v>52</v>
      </c>
      <c r="D178" s="30" t="s">
        <v>110</v>
      </c>
      <c r="E178" s="30" t="s">
        <v>19</v>
      </c>
      <c r="F178" s="30" t="s">
        <v>440</v>
      </c>
      <c r="G178" s="30" t="s">
        <v>142</v>
      </c>
      <c r="H178" s="25">
        <v>23</v>
      </c>
      <c r="I178" s="1">
        <v>17</v>
      </c>
      <c r="J178" s="26">
        <v>17</v>
      </c>
      <c r="K178" s="27">
        <f t="shared" si="6"/>
        <v>0</v>
      </c>
      <c r="L178" s="27"/>
      <c r="M178" s="27"/>
      <c r="N178" s="1">
        <v>15</v>
      </c>
      <c r="O178" s="27">
        <f t="shared" si="4"/>
        <v>14008.98</v>
      </c>
      <c r="P178" s="27">
        <f>8759.8+505.2+4743.98</f>
        <v>14008.98</v>
      </c>
      <c r="Q178" s="27"/>
      <c r="R178" s="20"/>
    </row>
    <row r="179" spans="1:38" s="7" customFormat="1" ht="27" customHeight="1">
      <c r="A179" s="29"/>
      <c r="B179" s="30" t="s">
        <v>109</v>
      </c>
      <c r="C179" s="29" t="s">
        <v>52</v>
      </c>
      <c r="D179" s="30" t="s">
        <v>110</v>
      </c>
      <c r="E179" s="30" t="s">
        <v>19</v>
      </c>
      <c r="F179" s="30" t="s">
        <v>344</v>
      </c>
      <c r="G179" s="30" t="s">
        <v>122</v>
      </c>
      <c r="H179" s="25">
        <v>13</v>
      </c>
      <c r="I179" s="1"/>
      <c r="J179" s="26"/>
      <c r="K179" s="27">
        <f t="shared" si="6"/>
        <v>0</v>
      </c>
      <c r="L179" s="27"/>
      <c r="M179" s="27"/>
      <c r="N179" s="1">
        <v>12</v>
      </c>
      <c r="O179" s="27">
        <f t="shared" si="4"/>
        <v>3199.6</v>
      </c>
      <c r="P179" s="27">
        <v>1762</v>
      </c>
      <c r="Q179" s="27">
        <v>1437.6</v>
      </c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27.75" customHeight="1">
      <c r="A180" s="24">
        <v>93</v>
      </c>
      <c r="B180" s="23" t="s">
        <v>111</v>
      </c>
      <c r="C180" s="24" t="s">
        <v>18</v>
      </c>
      <c r="D180" s="23"/>
      <c r="E180" s="23" t="s">
        <v>112</v>
      </c>
      <c r="F180" s="23" t="s">
        <v>441</v>
      </c>
      <c r="G180" s="23" t="s">
        <v>142</v>
      </c>
      <c r="H180" s="25">
        <v>6</v>
      </c>
      <c r="I180" s="1"/>
      <c r="J180" s="26"/>
      <c r="K180" s="27">
        <f t="shared" si="6"/>
        <v>0</v>
      </c>
      <c r="L180" s="27"/>
      <c r="M180" s="27"/>
      <c r="N180" s="1"/>
      <c r="O180" s="27">
        <f t="shared" si="4"/>
        <v>8928</v>
      </c>
      <c r="P180" s="27">
        <v>8928</v>
      </c>
      <c r="Q180" s="27"/>
      <c r="R180" s="20"/>
    </row>
    <row r="181" spans="1:38" ht="16.5" customHeight="1">
      <c r="A181" s="24"/>
      <c r="B181" s="23" t="s">
        <v>111</v>
      </c>
      <c r="C181" s="24" t="s">
        <v>18</v>
      </c>
      <c r="D181" s="23"/>
      <c r="E181" s="23" t="s">
        <v>112</v>
      </c>
      <c r="F181" s="23" t="s">
        <v>123</v>
      </c>
      <c r="G181" s="23" t="s">
        <v>136</v>
      </c>
      <c r="H181" s="25">
        <v>6</v>
      </c>
      <c r="I181" s="2"/>
      <c r="J181" s="26"/>
      <c r="K181" s="27">
        <f t="shared" si="6"/>
        <v>0</v>
      </c>
      <c r="L181" s="27"/>
      <c r="M181" s="27"/>
      <c r="N181" s="2">
        <v>2</v>
      </c>
      <c r="O181" s="27">
        <f t="shared" si="4"/>
        <v>0</v>
      </c>
      <c r="P181" s="27"/>
      <c r="Q181" s="27"/>
      <c r="R181" s="20"/>
    </row>
    <row r="182" spans="1:38" ht="16.5" customHeight="1">
      <c r="A182" s="24">
        <v>94</v>
      </c>
      <c r="B182" s="23" t="s">
        <v>113</v>
      </c>
      <c r="C182" s="24" t="s">
        <v>18</v>
      </c>
      <c r="D182" s="23"/>
      <c r="E182" s="23" t="s">
        <v>19</v>
      </c>
      <c r="F182" s="23" t="s">
        <v>120</v>
      </c>
      <c r="G182" s="23" t="s">
        <v>142</v>
      </c>
      <c r="H182" s="25">
        <v>0</v>
      </c>
      <c r="I182" s="1"/>
      <c r="J182" s="26"/>
      <c r="K182" s="27">
        <f t="shared" si="6"/>
        <v>0</v>
      </c>
      <c r="L182" s="27"/>
      <c r="M182" s="27"/>
      <c r="N182" s="1">
        <v>1</v>
      </c>
      <c r="O182" s="27">
        <f t="shared" si="4"/>
        <v>0</v>
      </c>
      <c r="P182" s="27"/>
      <c r="Q182" s="27"/>
      <c r="R182" s="20"/>
    </row>
    <row r="183" spans="1:38" ht="18.75" customHeight="1">
      <c r="A183" s="24"/>
      <c r="B183" s="23" t="s">
        <v>113</v>
      </c>
      <c r="C183" s="24" t="s">
        <v>18</v>
      </c>
      <c r="D183" s="23"/>
      <c r="E183" s="23" t="s">
        <v>19</v>
      </c>
      <c r="F183" s="23" t="s">
        <v>292</v>
      </c>
      <c r="G183" s="23" t="s">
        <v>122</v>
      </c>
      <c r="H183" s="25">
        <v>11</v>
      </c>
      <c r="I183" s="1">
        <v>1</v>
      </c>
      <c r="J183" s="26">
        <v>1</v>
      </c>
      <c r="K183" s="27">
        <f t="shared" si="6"/>
        <v>0</v>
      </c>
      <c r="L183" s="27"/>
      <c r="M183" s="27"/>
      <c r="N183" s="1">
        <v>11</v>
      </c>
      <c r="O183" s="27">
        <f t="shared" si="4"/>
        <v>1321.5</v>
      </c>
      <c r="P183" s="27"/>
      <c r="Q183" s="27">
        <v>1321.5</v>
      </c>
      <c r="R183" s="20"/>
    </row>
    <row r="184" spans="1:38" ht="20.25" customHeight="1">
      <c r="A184" s="24">
        <v>95</v>
      </c>
      <c r="B184" s="23" t="s">
        <v>114</v>
      </c>
      <c r="C184" s="24" t="s">
        <v>18</v>
      </c>
      <c r="D184" s="23"/>
      <c r="E184" s="23" t="s">
        <v>41</v>
      </c>
      <c r="F184" s="23" t="s">
        <v>443</v>
      </c>
      <c r="G184" s="23" t="s">
        <v>142</v>
      </c>
      <c r="H184" s="25">
        <v>4</v>
      </c>
      <c r="I184" s="1">
        <v>1</v>
      </c>
      <c r="J184" s="26">
        <v>2</v>
      </c>
      <c r="K184" s="27">
        <f t="shared" si="6"/>
        <v>0</v>
      </c>
      <c r="L184" s="27"/>
      <c r="M184" s="27"/>
      <c r="N184" s="1">
        <v>1</v>
      </c>
      <c r="O184" s="27">
        <f t="shared" si="4"/>
        <v>7826.67</v>
      </c>
      <c r="P184" s="27">
        <v>7826.67</v>
      </c>
      <c r="Q184" s="27"/>
      <c r="R184" s="20"/>
    </row>
    <row r="185" spans="1:38" ht="16.899999999999999" customHeight="1">
      <c r="A185" s="24"/>
      <c r="B185" s="23" t="s">
        <v>141</v>
      </c>
      <c r="C185" s="24" t="s">
        <v>18</v>
      </c>
      <c r="D185" s="23"/>
      <c r="E185" s="23" t="s">
        <v>41</v>
      </c>
      <c r="F185" s="23" t="s">
        <v>368</v>
      </c>
      <c r="G185" s="23" t="s">
        <v>136</v>
      </c>
      <c r="H185" s="25">
        <v>6</v>
      </c>
      <c r="I185" s="2"/>
      <c r="J185" s="26"/>
      <c r="K185" s="27">
        <f t="shared" si="6"/>
        <v>0</v>
      </c>
      <c r="L185" s="27"/>
      <c r="M185" s="27"/>
      <c r="N185" s="2">
        <v>4</v>
      </c>
      <c r="O185" s="27">
        <f t="shared" si="4"/>
        <v>0</v>
      </c>
      <c r="P185" s="27"/>
      <c r="Q185" s="27"/>
      <c r="R185" s="20"/>
    </row>
    <row r="186" spans="1:38" ht="16.899999999999999" customHeight="1">
      <c r="A186" s="24">
        <v>96</v>
      </c>
      <c r="B186" s="23" t="s">
        <v>309</v>
      </c>
      <c r="C186" s="24" t="s">
        <v>18</v>
      </c>
      <c r="D186" s="23"/>
      <c r="E186" s="23" t="s">
        <v>19</v>
      </c>
      <c r="F186" s="23" t="s">
        <v>442</v>
      </c>
      <c r="G186" s="23" t="s">
        <v>142</v>
      </c>
      <c r="H186" s="25">
        <v>6</v>
      </c>
      <c r="I186" s="2">
        <v>4</v>
      </c>
      <c r="J186" s="26">
        <v>4</v>
      </c>
      <c r="K186" s="27"/>
      <c r="L186" s="27"/>
      <c r="M186" s="27"/>
      <c r="N186" s="2"/>
      <c r="O186" s="27"/>
      <c r="P186" s="27"/>
      <c r="Q186" s="27"/>
      <c r="R186" s="20"/>
    </row>
    <row r="187" spans="1:38" ht="16.899999999999999" customHeight="1">
      <c r="A187" s="24"/>
      <c r="B187" s="23" t="s">
        <v>309</v>
      </c>
      <c r="C187" s="24" t="s">
        <v>18</v>
      </c>
      <c r="D187" s="23"/>
      <c r="E187" s="23" t="s">
        <v>19</v>
      </c>
      <c r="F187" s="23" t="s">
        <v>343</v>
      </c>
      <c r="G187" s="23" t="s">
        <v>122</v>
      </c>
      <c r="H187" s="25">
        <v>6</v>
      </c>
      <c r="I187" s="2">
        <v>1</v>
      </c>
      <c r="J187" s="26">
        <v>1</v>
      </c>
      <c r="K187" s="27">
        <f t="shared" si="6"/>
        <v>0</v>
      </c>
      <c r="L187" s="27"/>
      <c r="M187" s="27"/>
      <c r="N187" s="2"/>
      <c r="O187" s="27">
        <f t="shared" si="4"/>
        <v>0</v>
      </c>
      <c r="P187" s="27"/>
      <c r="Q187" s="27"/>
      <c r="R187" s="20"/>
    </row>
    <row r="188" spans="1:38" ht="16.899999999999999" customHeight="1">
      <c r="A188" s="24"/>
      <c r="B188" s="23" t="s">
        <v>309</v>
      </c>
      <c r="C188" s="24" t="s">
        <v>18</v>
      </c>
      <c r="D188" s="23"/>
      <c r="E188" s="23" t="s">
        <v>19</v>
      </c>
      <c r="F188" s="23" t="s">
        <v>324</v>
      </c>
      <c r="G188" s="23" t="s">
        <v>124</v>
      </c>
      <c r="H188" s="25">
        <v>0</v>
      </c>
      <c r="I188" s="2"/>
      <c r="J188" s="26"/>
      <c r="K188" s="27">
        <f t="shared" si="6"/>
        <v>0</v>
      </c>
      <c r="L188" s="27"/>
      <c r="M188" s="27"/>
      <c r="N188" s="2"/>
      <c r="O188" s="27">
        <f t="shared" si="4"/>
        <v>0</v>
      </c>
      <c r="P188" s="27"/>
      <c r="Q188" s="27"/>
      <c r="R188" s="20"/>
    </row>
    <row r="189" spans="1:38" ht="24.6" customHeight="1">
      <c r="A189" s="29">
        <v>97</v>
      </c>
      <c r="B189" s="30" t="s">
        <v>115</v>
      </c>
      <c r="C189" s="29" t="s">
        <v>52</v>
      </c>
      <c r="D189" s="30" t="s">
        <v>110</v>
      </c>
      <c r="E189" s="30" t="s">
        <v>19</v>
      </c>
      <c r="F189" s="30"/>
      <c r="G189" s="30" t="s">
        <v>142</v>
      </c>
      <c r="H189" s="25">
        <v>0</v>
      </c>
      <c r="I189" s="1"/>
      <c r="J189" s="26"/>
      <c r="K189" s="27">
        <f t="shared" si="6"/>
        <v>0</v>
      </c>
      <c r="L189" s="27"/>
      <c r="M189" s="27"/>
      <c r="N189" s="1">
        <v>1</v>
      </c>
      <c r="O189" s="27">
        <f t="shared" ref="O189:O193" si="7">P189+Q189</f>
        <v>0</v>
      </c>
      <c r="P189" s="27"/>
      <c r="Q189" s="27"/>
      <c r="R189" s="20"/>
    </row>
    <row r="190" spans="1:38" ht="32.25" customHeight="1">
      <c r="A190" s="29"/>
      <c r="B190" s="30" t="s">
        <v>115</v>
      </c>
      <c r="C190" s="29" t="s">
        <v>52</v>
      </c>
      <c r="D190" s="30" t="s">
        <v>110</v>
      </c>
      <c r="E190" s="30" t="s">
        <v>19</v>
      </c>
      <c r="F190" s="30" t="s">
        <v>292</v>
      </c>
      <c r="G190" s="30" t="s">
        <v>122</v>
      </c>
      <c r="H190" s="25">
        <v>0</v>
      </c>
      <c r="I190" s="1"/>
      <c r="J190" s="44"/>
      <c r="K190" s="27">
        <f t="shared" si="6"/>
        <v>0</v>
      </c>
      <c r="L190" s="27"/>
      <c r="M190" s="27"/>
      <c r="N190" s="1">
        <v>1</v>
      </c>
      <c r="O190" s="27">
        <f t="shared" si="7"/>
        <v>0</v>
      </c>
      <c r="P190" s="27"/>
      <c r="Q190" s="27"/>
      <c r="R190" s="20"/>
    </row>
    <row r="191" spans="1:38" ht="34.9" customHeight="1">
      <c r="A191" s="29">
        <v>98</v>
      </c>
      <c r="B191" s="30" t="s">
        <v>116</v>
      </c>
      <c r="C191" s="29" t="s">
        <v>52</v>
      </c>
      <c r="D191" s="30" t="s">
        <v>117</v>
      </c>
      <c r="E191" s="30" t="s">
        <v>19</v>
      </c>
      <c r="F191" s="30" t="s">
        <v>444</v>
      </c>
      <c r="G191" s="30" t="s">
        <v>142</v>
      </c>
      <c r="H191" s="25">
        <v>19</v>
      </c>
      <c r="I191" s="1">
        <v>7</v>
      </c>
      <c r="J191" s="44">
        <v>7</v>
      </c>
      <c r="K191" s="27">
        <f t="shared" si="6"/>
        <v>16538.14</v>
      </c>
      <c r="L191" s="27">
        <v>16538.14</v>
      </c>
      <c r="M191" s="27"/>
      <c r="N191" s="1">
        <v>3</v>
      </c>
      <c r="O191" s="27">
        <f t="shared" si="7"/>
        <v>14077.71</v>
      </c>
      <c r="P191" s="27">
        <v>14077.71</v>
      </c>
      <c r="Q191" s="27"/>
      <c r="R191" s="20"/>
    </row>
    <row r="192" spans="1:38" ht="28.5" customHeight="1">
      <c r="A192" s="29">
        <v>99</v>
      </c>
      <c r="B192" s="30" t="s">
        <v>209</v>
      </c>
      <c r="C192" s="29" t="s">
        <v>18</v>
      </c>
      <c r="D192" s="30"/>
      <c r="E192" s="30" t="s">
        <v>19</v>
      </c>
      <c r="F192" s="30" t="s">
        <v>123</v>
      </c>
      <c r="G192" s="30" t="s">
        <v>142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/>
      <c r="O192" s="27">
        <f t="shared" si="7"/>
        <v>0</v>
      </c>
      <c r="P192" s="27"/>
      <c r="Q192" s="27"/>
      <c r="R192" s="20"/>
    </row>
    <row r="193" spans="1:44" ht="19.5" customHeight="1">
      <c r="A193" s="29">
        <v>100</v>
      </c>
      <c r="B193" s="30" t="s">
        <v>118</v>
      </c>
      <c r="C193" s="29" t="s">
        <v>18</v>
      </c>
      <c r="D193" s="30"/>
      <c r="E193" s="30" t="s">
        <v>41</v>
      </c>
      <c r="F193" s="30" t="s">
        <v>445</v>
      </c>
      <c r="G193" s="30" t="s">
        <v>142</v>
      </c>
      <c r="H193" s="25">
        <v>12</v>
      </c>
      <c r="I193" s="1">
        <v>6</v>
      </c>
      <c r="J193" s="44">
        <v>6</v>
      </c>
      <c r="K193" s="27">
        <f t="shared" si="6"/>
        <v>0</v>
      </c>
      <c r="L193" s="27"/>
      <c r="M193" s="27"/>
      <c r="N193" s="1">
        <v>21</v>
      </c>
      <c r="O193" s="27">
        <f t="shared" si="7"/>
        <v>0</v>
      </c>
      <c r="P193" s="27"/>
      <c r="Q193" s="27"/>
      <c r="R193" s="20"/>
    </row>
    <row r="194" spans="1:44" s="7" customFormat="1" ht="30.6" customHeight="1">
      <c r="A194" s="24"/>
      <c r="B194" s="23" t="s">
        <v>118</v>
      </c>
      <c r="C194" s="24" t="s">
        <v>18</v>
      </c>
      <c r="D194" s="23"/>
      <c r="E194" s="23" t="s">
        <v>41</v>
      </c>
      <c r="F194" s="23" t="s">
        <v>298</v>
      </c>
      <c r="G194" s="23" t="s">
        <v>124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>P194+Q194</f>
        <v>0</v>
      </c>
      <c r="P194" s="27"/>
      <c r="Q194" s="27"/>
      <c r="R194" s="20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 spans="1:44" s="14" customFormat="1" ht="27" customHeight="1">
      <c r="A195" s="24"/>
      <c r="B195" s="23" t="s">
        <v>118</v>
      </c>
      <c r="C195" s="24" t="s">
        <v>18</v>
      </c>
      <c r="D195" s="23"/>
      <c r="E195" s="23" t="s">
        <v>41</v>
      </c>
      <c r="F195" s="23" t="s">
        <v>123</v>
      </c>
      <c r="G195" s="23" t="s">
        <v>136</v>
      </c>
      <c r="H195" s="25">
        <v>0</v>
      </c>
      <c r="I195" s="2"/>
      <c r="J195" s="26"/>
      <c r="K195" s="27">
        <f t="shared" si="6"/>
        <v>0</v>
      </c>
      <c r="L195" s="27"/>
      <c r="M195" s="27"/>
      <c r="N195" s="2"/>
      <c r="O195" s="27">
        <f>P195+Q195</f>
        <v>0</v>
      </c>
      <c r="P195" s="27"/>
      <c r="Q195" s="27"/>
      <c r="R195" s="20"/>
      <c r="AM195" s="4"/>
      <c r="AN195" s="4"/>
      <c r="AO195" s="4"/>
      <c r="AP195" s="4"/>
      <c r="AQ195" s="4"/>
      <c r="AR195" s="4"/>
    </row>
    <row r="196" spans="1:44" s="14" customFormat="1" ht="27" customHeight="1">
      <c r="A196" s="46">
        <v>101</v>
      </c>
      <c r="B196" s="60" t="s">
        <v>119</v>
      </c>
      <c r="C196" s="46" t="s">
        <v>18</v>
      </c>
      <c r="D196" s="60"/>
      <c r="E196" s="60" t="s">
        <v>19</v>
      </c>
      <c r="F196" s="60" t="s">
        <v>120</v>
      </c>
      <c r="G196" s="60" t="s">
        <v>122</v>
      </c>
      <c r="H196" s="61">
        <v>0</v>
      </c>
      <c r="I196" s="32"/>
      <c r="J196" s="62"/>
      <c r="K196" s="27">
        <f t="shared" si="6"/>
        <v>0</v>
      </c>
      <c r="L196" s="63"/>
      <c r="M196" s="63"/>
      <c r="N196" s="32"/>
      <c r="O196" s="63">
        <v>0</v>
      </c>
      <c r="P196" s="63"/>
      <c r="Q196" s="63"/>
      <c r="R196" s="20"/>
      <c r="AM196" s="4"/>
      <c r="AN196" s="4"/>
      <c r="AO196" s="4"/>
      <c r="AP196" s="4"/>
      <c r="AQ196" s="4"/>
      <c r="AR196" s="4"/>
    </row>
    <row r="197" spans="1:44" s="14" customFormat="1" ht="27" customHeight="1">
      <c r="A197" s="46">
        <v>102</v>
      </c>
      <c r="B197" s="60" t="s">
        <v>325</v>
      </c>
      <c r="C197" s="46" t="s">
        <v>18</v>
      </c>
      <c r="D197" s="60"/>
      <c r="E197" s="60" t="s">
        <v>36</v>
      </c>
      <c r="F197" s="60" t="s">
        <v>446</v>
      </c>
      <c r="G197" s="60" t="s">
        <v>142</v>
      </c>
      <c r="H197" s="61">
        <v>5</v>
      </c>
      <c r="I197" s="32">
        <v>1</v>
      </c>
      <c r="J197" s="62">
        <v>1</v>
      </c>
      <c r="K197" s="27"/>
      <c r="L197" s="63"/>
      <c r="M197" s="63"/>
      <c r="N197" s="32"/>
      <c r="O197" s="63"/>
      <c r="P197" s="63"/>
      <c r="Q197" s="63"/>
      <c r="R197" s="20"/>
      <c r="AM197" s="4"/>
      <c r="AN197" s="4"/>
      <c r="AO197" s="4"/>
      <c r="AP197" s="4"/>
      <c r="AQ197" s="4"/>
      <c r="AR197" s="4"/>
    </row>
    <row r="198" spans="1:44" s="14" customFormat="1" ht="27" customHeight="1">
      <c r="A198" s="46"/>
      <c r="B198" s="23" t="s">
        <v>325</v>
      </c>
      <c r="C198" s="24" t="s">
        <v>18</v>
      </c>
      <c r="D198" s="23"/>
      <c r="E198" s="23" t="s">
        <v>36</v>
      </c>
      <c r="F198" s="23" t="s">
        <v>369</v>
      </c>
      <c r="G198" s="23" t="s">
        <v>124</v>
      </c>
      <c r="H198" s="25">
        <v>0</v>
      </c>
      <c r="I198" s="2"/>
      <c r="J198" s="26"/>
      <c r="K198" s="27">
        <f t="shared" si="6"/>
        <v>0</v>
      </c>
      <c r="L198" s="27"/>
      <c r="M198" s="27"/>
      <c r="N198" s="2"/>
      <c r="O198" s="27">
        <v>0</v>
      </c>
      <c r="P198" s="27"/>
      <c r="Q198" s="27"/>
      <c r="R198" s="20"/>
      <c r="AM198" s="4"/>
      <c r="AN198" s="4"/>
      <c r="AO198" s="4"/>
      <c r="AP198" s="4"/>
      <c r="AQ198" s="4"/>
      <c r="AR198" s="4"/>
    </row>
    <row r="199" spans="1:44" s="14" customFormat="1" ht="18.75" customHeight="1" thickBot="1">
      <c r="A199" s="47"/>
      <c r="B199" s="48" t="s">
        <v>325</v>
      </c>
      <c r="C199" s="49" t="s">
        <v>18</v>
      </c>
      <c r="D199" s="48"/>
      <c r="E199" s="48" t="s">
        <v>370</v>
      </c>
      <c r="F199" s="48" t="s">
        <v>371</v>
      </c>
      <c r="G199" s="48" t="s">
        <v>136</v>
      </c>
      <c r="H199" s="50">
        <v>0</v>
      </c>
      <c r="I199" s="33"/>
      <c r="J199" s="51"/>
      <c r="K199" s="34">
        <f t="shared" si="6"/>
        <v>0</v>
      </c>
      <c r="L199" s="52"/>
      <c r="M199" s="52"/>
      <c r="N199" s="33"/>
      <c r="O199" s="52">
        <f>P199+Q199</f>
        <v>0</v>
      </c>
      <c r="P199" s="52"/>
      <c r="Q199" s="52"/>
      <c r="R199" s="20"/>
      <c r="AM199" s="4"/>
      <c r="AN199" s="4"/>
      <c r="AO199" s="4"/>
      <c r="AP199" s="4"/>
      <c r="AQ199" s="4"/>
      <c r="AR199" s="4"/>
    </row>
    <row r="200" spans="1:44" s="14" customFormat="1" ht="16.5" customHeight="1">
      <c r="A200" s="87" t="s">
        <v>145</v>
      </c>
      <c r="B200" s="87"/>
      <c r="C200" s="88"/>
      <c r="D200" s="89"/>
      <c r="E200" s="89"/>
      <c r="F200" s="89"/>
      <c r="G200" s="89"/>
      <c r="H200" s="88">
        <f>SUM(H10:H199)</f>
        <v>1013</v>
      </c>
      <c r="I200" s="88">
        <f>SUM(I10:I199)</f>
        <v>307</v>
      </c>
      <c r="J200" s="88">
        <f>SUM(J10:J199)</f>
        <v>315</v>
      </c>
      <c r="K200" s="90">
        <f>SUM(K10:K199)</f>
        <v>16538.14</v>
      </c>
      <c r="L200" s="90">
        <f t="shared" ref="L200:Q200" si="8">SUM(L10:L199)</f>
        <v>16538.14</v>
      </c>
      <c r="M200" s="88">
        <f t="shared" si="8"/>
        <v>0</v>
      </c>
      <c r="N200" s="88">
        <f t="shared" si="8"/>
        <v>609</v>
      </c>
      <c r="O200" s="90">
        <f>SUM(O10:O199)</f>
        <v>346591.66999999993</v>
      </c>
      <c r="P200" s="90">
        <f>SUM(P10:P199)</f>
        <v>334870.28999999998</v>
      </c>
      <c r="Q200" s="88">
        <f t="shared" si="8"/>
        <v>11721.380000000001</v>
      </c>
      <c r="R200" s="20"/>
      <c r="AM200" s="4"/>
      <c r="AN200" s="4"/>
      <c r="AO200" s="4"/>
      <c r="AP200" s="4"/>
      <c r="AQ200" s="4"/>
      <c r="AR200" s="4"/>
    </row>
    <row r="201" spans="1:44" s="14" customFormat="1" ht="15" customHeight="1">
      <c r="A201" s="5"/>
      <c r="B201" s="6"/>
      <c r="C201" s="5"/>
      <c r="D201" s="6"/>
      <c r="E201" s="6"/>
      <c r="F201" s="6"/>
      <c r="G201" s="6"/>
      <c r="H201" s="9"/>
      <c r="I201" s="9"/>
      <c r="J201" s="9"/>
      <c r="K201" s="9"/>
      <c r="L201" s="9"/>
      <c r="M201" s="11"/>
      <c r="N201" s="9"/>
      <c r="O201" s="9"/>
      <c r="P201" s="5"/>
      <c r="Q201" s="13"/>
      <c r="R201" s="20"/>
      <c r="AM201" s="4"/>
      <c r="AN201" s="4"/>
      <c r="AO201" s="4"/>
      <c r="AP201" s="4"/>
      <c r="AQ201" s="4"/>
      <c r="AR201" s="4"/>
    </row>
    <row r="202" spans="1:44" s="14" customForma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12"/>
      <c r="N202" s="4"/>
      <c r="O202" s="4"/>
      <c r="P202" s="4"/>
      <c r="Q202" s="12"/>
      <c r="R202" s="20"/>
      <c r="AM202" s="4"/>
      <c r="AN202" s="4"/>
      <c r="AO202" s="4"/>
      <c r="AP202" s="4"/>
      <c r="AQ202" s="4"/>
      <c r="AR202" s="4"/>
    </row>
    <row r="203" spans="1:44" s="14" customForma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15"/>
      <c r="M203" s="19"/>
      <c r="N203" s="4"/>
      <c r="O203" s="4"/>
      <c r="P203" s="4"/>
      <c r="Q203" s="12"/>
      <c r="AM203" s="4"/>
      <c r="AN203" s="4"/>
      <c r="AO203" s="4"/>
      <c r="AP203" s="4"/>
      <c r="AQ203" s="4"/>
      <c r="AR203" s="4"/>
    </row>
    <row r="204" spans="1:44" s="14" customForma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15"/>
      <c r="M204" s="12"/>
      <c r="N204" s="15"/>
      <c r="O204" s="15"/>
      <c r="P204" s="4"/>
      <c r="Q204" s="12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15"/>
      <c r="M205" s="12"/>
      <c r="N205" s="15"/>
      <c r="O205" s="4"/>
      <c r="P205" s="4"/>
      <c r="Q205" s="12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2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15"/>
      <c r="M208" s="12"/>
      <c r="N208" s="4"/>
      <c r="O208" s="4"/>
      <c r="P208" s="4"/>
      <c r="Q208" s="12"/>
      <c r="AM208" s="4"/>
      <c r="AN208" s="4"/>
      <c r="AO208" s="4"/>
      <c r="AP208" s="4"/>
      <c r="AQ208" s="4"/>
      <c r="AR208" s="4"/>
    </row>
    <row r="215" spans="1:44" s="12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15"/>
      <c r="N215" s="4"/>
      <c r="O215" s="4"/>
      <c r="P215" s="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4"/>
      <c r="AN215" s="4"/>
      <c r="AO215" s="4"/>
      <c r="AP215" s="4"/>
      <c r="AQ215" s="4"/>
      <c r="AR215" s="4"/>
    </row>
  </sheetData>
  <mergeCells count="8">
    <mergeCell ref="A200:B20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R215"/>
  <sheetViews>
    <sheetView topLeftCell="A75" zoomScale="90" zoomScaleNormal="90" workbookViewId="0">
      <selection activeCell="J75" sqref="A7:Q200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0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10</v>
      </c>
      <c r="I11" s="1">
        <v>4</v>
      </c>
      <c r="J11" s="26">
        <v>4</v>
      </c>
      <c r="K11" s="27">
        <f t="shared" ref="K11:K83" si="2">L11+M11</f>
        <v>0</v>
      </c>
      <c r="L11" s="27"/>
      <c r="M11" s="27"/>
      <c r="N11" s="1">
        <v>12</v>
      </c>
      <c r="O11" s="27">
        <f t="shared" si="1"/>
        <v>4669.3</v>
      </c>
      <c r="P11" s="27"/>
      <c r="Q11" s="27">
        <v>4669.3</v>
      </c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3500.41</v>
      </c>
      <c r="P12" s="27">
        <v>3500.41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>
        <v>2</v>
      </c>
      <c r="J14" s="26">
        <v>3</v>
      </c>
      <c r="K14" s="27">
        <f t="shared" si="2"/>
        <v>0</v>
      </c>
      <c r="L14" s="27"/>
      <c r="M14" s="27"/>
      <c r="N14" s="1">
        <v>12</v>
      </c>
      <c r="O14" s="27">
        <f t="shared" si="1"/>
        <v>6380.54</v>
      </c>
      <c r="P14" s="27">
        <v>6380.54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12</v>
      </c>
      <c r="I15" s="2">
        <v>6</v>
      </c>
      <c r="J15" s="26">
        <v>6</v>
      </c>
      <c r="K15" s="27">
        <f t="shared" si="2"/>
        <v>0</v>
      </c>
      <c r="L15" s="27"/>
      <c r="M15" s="27"/>
      <c r="N15" s="2">
        <v>10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18</v>
      </c>
      <c r="I16" s="1">
        <v>9</v>
      </c>
      <c r="J16" s="26">
        <v>10</v>
      </c>
      <c r="K16" s="27">
        <f t="shared" si="2"/>
        <v>0</v>
      </c>
      <c r="L16" s="27"/>
      <c r="M16" s="27"/>
      <c r="N16" s="1">
        <v>11</v>
      </c>
      <c r="O16" s="27">
        <f t="shared" si="1"/>
        <v>9373.48</v>
      </c>
      <c r="P16" s="27">
        <v>9373.48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20</v>
      </c>
      <c r="I20" s="1">
        <v>9</v>
      </c>
      <c r="J20" s="26">
        <v>9</v>
      </c>
      <c r="K20" s="27">
        <f t="shared" si="2"/>
        <v>0</v>
      </c>
      <c r="L20" s="27"/>
      <c r="M20" s="27"/>
      <c r="N20" s="1">
        <v>15</v>
      </c>
      <c r="O20" s="27">
        <f t="shared" si="1"/>
        <v>4072.37</v>
      </c>
      <c r="P20" s="27">
        <f>4072.37</f>
        <v>4072.37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3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2290.6</v>
      </c>
      <c r="P22" s="27">
        <v>376.32</v>
      </c>
      <c r="Q22" s="27">
        <v>1914.28</v>
      </c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7</v>
      </c>
      <c r="I26" s="1">
        <v>5</v>
      </c>
      <c r="J26" s="44">
        <v>5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12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9164.61</v>
      </c>
      <c r="P29" s="27">
        <f>1585.49+7579.12</f>
        <v>9164.61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7</v>
      </c>
      <c r="J32" s="26">
        <v>8</v>
      </c>
      <c r="K32" s="27">
        <f t="shared" si="2"/>
        <v>0</v>
      </c>
      <c r="L32" s="27"/>
      <c r="M32" s="27"/>
      <c r="N32" s="1">
        <v>7</v>
      </c>
      <c r="O32" s="27">
        <f t="shared" si="1"/>
        <v>8353.67</v>
      </c>
      <c r="P32" s="27">
        <v>8353.67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3</v>
      </c>
      <c r="O33" s="27">
        <f t="shared" si="1"/>
        <v>881</v>
      </c>
      <c r="P33" s="27">
        <v>881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3494.69</v>
      </c>
      <c r="P34" s="27">
        <v>3494.69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5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5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7</v>
      </c>
      <c r="I37" s="2"/>
      <c r="J37" s="26"/>
      <c r="K37" s="27">
        <f t="shared" si="2"/>
        <v>0</v>
      </c>
      <c r="L37" s="27"/>
      <c r="M37" s="27"/>
      <c r="N37" s="2">
        <v>5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10</v>
      </c>
      <c r="I38" s="1">
        <v>6</v>
      </c>
      <c r="J38" s="26">
        <v>6</v>
      </c>
      <c r="K38" s="27">
        <f t="shared" si="2"/>
        <v>0</v>
      </c>
      <c r="L38" s="27"/>
      <c r="M38" s="27"/>
      <c r="N38" s="1">
        <v>10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10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6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4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7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2</v>
      </c>
      <c r="I45" s="1"/>
      <c r="J45" s="26"/>
      <c r="K45" s="27">
        <f t="shared" si="2"/>
        <v>0</v>
      </c>
      <c r="L45" s="27"/>
      <c r="M45" s="27"/>
      <c r="N45" s="1">
        <v>3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7</v>
      </c>
      <c r="I48" s="1">
        <v>7</v>
      </c>
      <c r="J48" s="26">
        <v>7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4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11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5</v>
      </c>
      <c r="O50" s="27">
        <f t="shared" si="1"/>
        <v>6837.93</v>
      </c>
      <c r="P50" s="27">
        <v>6837.93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10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10258.950000000001</v>
      </c>
      <c r="P53" s="27">
        <v>10258.950000000001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6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4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9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13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18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2817.33</v>
      </c>
      <c r="P60" s="27">
        <v>2817.33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14</v>
      </c>
      <c r="I61" s="1">
        <v>5</v>
      </c>
      <c r="J61" s="26">
        <v>5</v>
      </c>
      <c r="K61" s="27">
        <f t="shared" si="2"/>
        <v>0</v>
      </c>
      <c r="L61" s="27"/>
      <c r="M61" s="27"/>
      <c r="N61" s="1">
        <v>10</v>
      </c>
      <c r="O61" s="27">
        <f t="shared" si="1"/>
        <v>3558.78</v>
      </c>
      <c r="P61" s="27">
        <v>3558.78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1</v>
      </c>
      <c r="J62" s="26">
        <v>1</v>
      </c>
      <c r="K62" s="27">
        <f t="shared" si="2"/>
        <v>0</v>
      </c>
      <c r="L62" s="27"/>
      <c r="M62" s="27"/>
      <c r="N62" s="1">
        <v>5</v>
      </c>
      <c r="O62" s="27">
        <f t="shared" si="1"/>
        <v>1585.8</v>
      </c>
      <c r="P62" s="27"/>
      <c r="Q62" s="27">
        <v>1585.8</v>
      </c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6</v>
      </c>
      <c r="I63" s="1">
        <v>2</v>
      </c>
      <c r="J63" s="26">
        <v>2</v>
      </c>
      <c r="K63" s="27">
        <f t="shared" si="2"/>
        <v>0</v>
      </c>
      <c r="L63" s="27"/>
      <c r="M63" s="27"/>
      <c r="N63" s="1">
        <v>5</v>
      </c>
      <c r="O63" s="27">
        <f t="shared" si="1"/>
        <v>3793.8</v>
      </c>
      <c r="P63" s="27">
        <v>3793.8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9</v>
      </c>
      <c r="I64" s="1">
        <v>1</v>
      </c>
      <c r="J64" s="26">
        <v>1</v>
      </c>
      <c r="K64" s="27">
        <f t="shared" si="2"/>
        <v>0</v>
      </c>
      <c r="L64" s="27"/>
      <c r="M64" s="27"/>
      <c r="N64" s="1">
        <v>6</v>
      </c>
      <c r="O64" s="27">
        <f t="shared" si="1"/>
        <v>5902.7</v>
      </c>
      <c r="P64" s="27">
        <v>5902.7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7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5</v>
      </c>
      <c r="J66" s="26">
        <v>5</v>
      </c>
      <c r="K66" s="27">
        <f t="shared" si="2"/>
        <v>0</v>
      </c>
      <c r="L66" s="27"/>
      <c r="M66" s="27"/>
      <c r="N66" s="1">
        <v>8</v>
      </c>
      <c r="O66" s="27">
        <f t="shared" si="1"/>
        <v>10706</v>
      </c>
      <c r="P66" s="27">
        <f>1353.94+9352.06</f>
        <v>10706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7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12</v>
      </c>
      <c r="I70" s="2">
        <v>4</v>
      </c>
      <c r="J70" s="26">
        <v>4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14</v>
      </c>
      <c r="I71" s="1">
        <v>2</v>
      </c>
      <c r="J71" s="26">
        <v>2</v>
      </c>
      <c r="K71" s="27">
        <f t="shared" si="2"/>
        <v>0</v>
      </c>
      <c r="L71" s="27"/>
      <c r="M71" s="27"/>
      <c r="N71" s="1">
        <v>10</v>
      </c>
      <c r="O71" s="27">
        <f t="shared" si="1"/>
        <v>19259.82</v>
      </c>
      <c r="P71" s="27">
        <f>8536.41+1900.55+1810.72+5409.65+1602.49</f>
        <v>19259.82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13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0</v>
      </c>
      <c r="P74" s="27"/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5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2242.5</v>
      </c>
      <c r="P75" s="27">
        <v>2242.5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0</v>
      </c>
      <c r="P76" s="27"/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8</v>
      </c>
      <c r="I77" s="1">
        <v>4</v>
      </c>
      <c r="J77" s="26">
        <v>4</v>
      </c>
      <c r="K77" s="27">
        <f t="shared" si="2"/>
        <v>0</v>
      </c>
      <c r="L77" s="27"/>
      <c r="M77" s="27"/>
      <c r="N77" s="1">
        <v>15</v>
      </c>
      <c r="O77" s="27">
        <f t="shared" si="1"/>
        <v>5457.7</v>
      </c>
      <c r="P77" s="27">
        <v>5457.7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6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2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2</v>
      </c>
      <c r="I80" s="1"/>
      <c r="J80" s="26"/>
      <c r="K80" s="27">
        <f t="shared" si="2"/>
        <v>0</v>
      </c>
      <c r="L80" s="27"/>
      <c r="M80" s="27"/>
      <c r="N80" s="1">
        <v>8</v>
      </c>
      <c r="O80" s="27">
        <f t="shared" si="1"/>
        <v>1497.7</v>
      </c>
      <c r="P80" s="27">
        <v>1497.7</v>
      </c>
      <c r="Q80" s="27"/>
      <c r="R80" s="20"/>
    </row>
    <row r="81" spans="1:38" s="17" customFormat="1" ht="15" customHeight="1">
      <c r="A81" s="24">
        <v>39</v>
      </c>
      <c r="B81" s="23" t="s">
        <v>238</v>
      </c>
      <c r="C81" s="24" t="s">
        <v>18</v>
      </c>
      <c r="D81" s="23"/>
      <c r="E81" s="23" t="s">
        <v>41</v>
      </c>
      <c r="F81" s="23" t="s">
        <v>408</v>
      </c>
      <c r="G81" s="23" t="s">
        <v>142</v>
      </c>
      <c r="H81" s="25">
        <v>29</v>
      </c>
      <c r="I81" s="1">
        <v>13</v>
      </c>
      <c r="J81" s="26">
        <v>13</v>
      </c>
      <c r="K81" s="27">
        <f t="shared" si="2"/>
        <v>0</v>
      </c>
      <c r="L81" s="27"/>
      <c r="M81" s="27"/>
      <c r="N81" s="1">
        <v>1</v>
      </c>
      <c r="O81" s="27">
        <f t="shared" si="1"/>
        <v>6215.87</v>
      </c>
      <c r="P81" s="27">
        <v>6215.87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7" customFormat="1" ht="15" customHeight="1">
      <c r="A82" s="24">
        <v>40</v>
      </c>
      <c r="B82" s="23" t="s">
        <v>65</v>
      </c>
      <c r="C82" s="24" t="s">
        <v>18</v>
      </c>
      <c r="D82" s="23"/>
      <c r="E82" s="23" t="s">
        <v>66</v>
      </c>
      <c r="F82" s="23" t="s">
        <v>409</v>
      </c>
      <c r="G82" s="23" t="s">
        <v>142</v>
      </c>
      <c r="H82" s="25">
        <v>9</v>
      </c>
      <c r="I82" s="1"/>
      <c r="J82" s="26"/>
      <c r="K82" s="27">
        <f t="shared" si="2"/>
        <v>0</v>
      </c>
      <c r="L82" s="27"/>
      <c r="M82" s="27"/>
      <c r="N82" s="1">
        <v>9</v>
      </c>
      <c r="O82" s="27">
        <f t="shared" si="1"/>
        <v>477.41</v>
      </c>
      <c r="P82" s="27">
        <v>477.41</v>
      </c>
      <c r="Q82" s="27"/>
      <c r="R82" s="20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 spans="1:38" ht="15" customHeight="1">
      <c r="A83" s="24"/>
      <c r="B83" s="23" t="s">
        <v>65</v>
      </c>
      <c r="C83" s="24" t="s">
        <v>18</v>
      </c>
      <c r="D83" s="23"/>
      <c r="E83" s="23" t="s">
        <v>66</v>
      </c>
      <c r="F83" s="23" t="s">
        <v>123</v>
      </c>
      <c r="G83" s="23" t="s">
        <v>136</v>
      </c>
      <c r="H83" s="25">
        <v>0</v>
      </c>
      <c r="I83" s="2"/>
      <c r="J83" s="26"/>
      <c r="K83" s="27">
        <f t="shared" si="2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s="7" customFormat="1" ht="15" customHeight="1">
      <c r="A84" s="24">
        <v>41</v>
      </c>
      <c r="B84" s="23" t="s">
        <v>67</v>
      </c>
      <c r="C84" s="24" t="s">
        <v>18</v>
      </c>
      <c r="D84" s="23"/>
      <c r="E84" s="23" t="s">
        <v>19</v>
      </c>
      <c r="F84" s="23" t="s">
        <v>410</v>
      </c>
      <c r="G84" s="23" t="s">
        <v>142</v>
      </c>
      <c r="H84" s="25">
        <v>18</v>
      </c>
      <c r="I84" s="1">
        <v>14</v>
      </c>
      <c r="J84" s="26">
        <v>14</v>
      </c>
      <c r="K84" s="27">
        <f t="shared" ref="K84:K152" si="3">L84+M84</f>
        <v>0</v>
      </c>
      <c r="L84" s="27"/>
      <c r="M84" s="27"/>
      <c r="N84" s="1">
        <v>9</v>
      </c>
      <c r="O84" s="27">
        <f t="shared" si="1"/>
        <v>1369.13</v>
      </c>
      <c r="P84" s="27">
        <v>1369.13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s="28" customFormat="1" ht="15" customHeight="1">
      <c r="A85" s="24"/>
      <c r="B85" s="23" t="s">
        <v>67</v>
      </c>
      <c r="C85" s="24" t="s">
        <v>18</v>
      </c>
      <c r="D85" s="23"/>
      <c r="E85" s="23" t="s">
        <v>104</v>
      </c>
      <c r="F85" s="23" t="s">
        <v>123</v>
      </c>
      <c r="G85" s="23" t="s">
        <v>122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1"/>
        <v>0</v>
      </c>
      <c r="P85" s="27"/>
      <c r="Q85" s="27"/>
      <c r="R85" s="20"/>
    </row>
    <row r="86" spans="1:38" ht="15" customHeight="1">
      <c r="A86" s="24">
        <v>42</v>
      </c>
      <c r="B86" s="23" t="s">
        <v>68</v>
      </c>
      <c r="C86" s="24" t="s">
        <v>18</v>
      </c>
      <c r="D86" s="24"/>
      <c r="E86" s="23" t="s">
        <v>50</v>
      </c>
      <c r="F86" s="23" t="s">
        <v>411</v>
      </c>
      <c r="G86" s="23" t="s">
        <v>142</v>
      </c>
      <c r="H86" s="25">
        <v>5</v>
      </c>
      <c r="I86" s="1"/>
      <c r="J86" s="26"/>
      <c r="K86" s="27">
        <f t="shared" si="3"/>
        <v>0</v>
      </c>
      <c r="L86" s="27"/>
      <c r="M86" s="27"/>
      <c r="N86" s="1"/>
      <c r="O86" s="27">
        <f t="shared" si="1"/>
        <v>0</v>
      </c>
      <c r="P86" s="27"/>
      <c r="Q86" s="27"/>
      <c r="R86" s="20"/>
    </row>
    <row r="87" spans="1:38" ht="15" customHeight="1">
      <c r="A87" s="24"/>
      <c r="B87" s="23" t="s">
        <v>68</v>
      </c>
      <c r="C87" s="24" t="s">
        <v>18</v>
      </c>
      <c r="D87" s="23"/>
      <c r="E87" s="23" t="s">
        <v>50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1"/>
        <v>0</v>
      </c>
      <c r="P87" s="27"/>
      <c r="Q87" s="27"/>
      <c r="R87" s="20"/>
    </row>
    <row r="88" spans="1:38" ht="15" customHeight="1">
      <c r="A88" s="24"/>
      <c r="B88" s="23" t="s">
        <v>68</v>
      </c>
      <c r="C88" s="24" t="s">
        <v>18</v>
      </c>
      <c r="D88" s="23"/>
      <c r="E88" s="23" t="s">
        <v>50</v>
      </c>
      <c r="F88" s="23" t="s">
        <v>292</v>
      </c>
      <c r="G88" s="23" t="s">
        <v>124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1"/>
        <v>0</v>
      </c>
      <c r="P88" s="27"/>
      <c r="Q88" s="27"/>
      <c r="R88" s="20"/>
    </row>
    <row r="89" spans="1:38" ht="15" customHeight="1">
      <c r="A89" s="24">
        <v>43</v>
      </c>
      <c r="B89" s="23" t="s">
        <v>127</v>
      </c>
      <c r="C89" s="24" t="s">
        <v>18</v>
      </c>
      <c r="D89" s="23"/>
      <c r="E89" s="23" t="s">
        <v>41</v>
      </c>
      <c r="F89" s="23" t="s">
        <v>412</v>
      </c>
      <c r="G89" s="23" t="s">
        <v>142</v>
      </c>
      <c r="H89" s="25">
        <v>9</v>
      </c>
      <c r="I89" s="2">
        <v>1</v>
      </c>
      <c r="J89" s="26">
        <v>1</v>
      </c>
      <c r="K89" s="27">
        <f t="shared" si="3"/>
        <v>0</v>
      </c>
      <c r="L89" s="27"/>
      <c r="M89" s="27"/>
      <c r="N89" s="2">
        <v>2</v>
      </c>
      <c r="O89" s="27">
        <f t="shared" si="1"/>
        <v>3045.34</v>
      </c>
      <c r="P89" s="27">
        <v>3045.34</v>
      </c>
      <c r="Q89" s="27"/>
      <c r="R89" s="20"/>
    </row>
    <row r="90" spans="1:38" ht="15" customHeight="1">
      <c r="A90" s="24"/>
      <c r="B90" s="23" t="s">
        <v>127</v>
      </c>
      <c r="C90" s="24" t="s">
        <v>18</v>
      </c>
      <c r="D90" s="23"/>
      <c r="E90" s="23" t="s">
        <v>50</v>
      </c>
      <c r="F90" s="23" t="s">
        <v>364</v>
      </c>
      <c r="G90" s="23" t="s">
        <v>136</v>
      </c>
      <c r="H90" s="25">
        <v>10</v>
      </c>
      <c r="I90" s="2">
        <v>1</v>
      </c>
      <c r="J90" s="26">
        <v>1</v>
      </c>
      <c r="K90" s="27">
        <f t="shared" si="3"/>
        <v>0</v>
      </c>
      <c r="L90" s="27"/>
      <c r="M90" s="27"/>
      <c r="N90" s="2">
        <v>14</v>
      </c>
      <c r="O90" s="27">
        <f t="shared" si="1"/>
        <v>0</v>
      </c>
      <c r="P90" s="27"/>
      <c r="Q90" s="27"/>
      <c r="R90" s="20"/>
    </row>
    <row r="91" spans="1:38" ht="15" customHeight="1">
      <c r="A91" s="24"/>
      <c r="B91" s="23" t="s">
        <v>127</v>
      </c>
      <c r="C91" s="24" t="s">
        <v>18</v>
      </c>
      <c r="D91" s="23"/>
      <c r="E91" s="23" t="s">
        <v>50</v>
      </c>
      <c r="F91" s="23" t="s">
        <v>375</v>
      </c>
      <c r="G91" s="23" t="s">
        <v>124</v>
      </c>
      <c r="H91" s="25">
        <v>1</v>
      </c>
      <c r="I91" s="2"/>
      <c r="J91" s="26"/>
      <c r="K91" s="27">
        <f t="shared" si="3"/>
        <v>0</v>
      </c>
      <c r="L91" s="27"/>
      <c r="M91" s="27"/>
      <c r="N91" s="2">
        <v>1</v>
      </c>
      <c r="O91" s="27">
        <f t="shared" ref="O91:O188" si="4">P91+Q91</f>
        <v>0</v>
      </c>
      <c r="P91" s="27"/>
      <c r="Q91" s="27"/>
      <c r="R91" s="20"/>
    </row>
    <row r="92" spans="1:38" s="7" customFormat="1" ht="15" customHeight="1">
      <c r="A92" s="74">
        <v>44</v>
      </c>
      <c r="B92" s="77" t="s">
        <v>69</v>
      </c>
      <c r="C92" s="74" t="s">
        <v>18</v>
      </c>
      <c r="D92" s="77"/>
      <c r="E92" s="77" t="s">
        <v>19</v>
      </c>
      <c r="F92" s="77" t="s">
        <v>292</v>
      </c>
      <c r="G92" s="77" t="s">
        <v>142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s="7" customFormat="1" ht="15.75" customHeight="1">
      <c r="A93" s="74">
        <v>45</v>
      </c>
      <c r="B93" s="77" t="s">
        <v>70</v>
      </c>
      <c r="C93" s="74" t="s">
        <v>18</v>
      </c>
      <c r="D93" s="77"/>
      <c r="E93" s="77" t="s">
        <v>19</v>
      </c>
      <c r="F93" s="77" t="s">
        <v>413</v>
      </c>
      <c r="G93" s="77" t="s">
        <v>142</v>
      </c>
      <c r="H93" s="25">
        <v>6</v>
      </c>
      <c r="I93" s="1">
        <v>4</v>
      </c>
      <c r="J93" s="26">
        <v>4</v>
      </c>
      <c r="K93" s="27">
        <f t="shared" si="3"/>
        <v>0</v>
      </c>
      <c r="L93" s="27"/>
      <c r="M93" s="27"/>
      <c r="N93" s="1">
        <v>4</v>
      </c>
      <c r="O93" s="27">
        <f t="shared" si="4"/>
        <v>3806.1</v>
      </c>
      <c r="P93" s="27">
        <v>3806.1</v>
      </c>
      <c r="Q93" s="27"/>
      <c r="R93" s="20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 spans="1:38" ht="15" customHeight="1">
      <c r="A94" s="74">
        <v>46</v>
      </c>
      <c r="B94" s="77" t="s">
        <v>71</v>
      </c>
      <c r="C94" s="74" t="s">
        <v>18</v>
      </c>
      <c r="D94" s="77"/>
      <c r="E94" s="77" t="s">
        <v>32</v>
      </c>
      <c r="F94" s="77" t="s">
        <v>292</v>
      </c>
      <c r="G94" s="77" t="s">
        <v>121</v>
      </c>
      <c r="H94" s="25">
        <v>0</v>
      </c>
      <c r="I94" s="1"/>
      <c r="J94" s="26"/>
      <c r="K94" s="27">
        <f t="shared" si="3"/>
        <v>0</v>
      </c>
      <c r="L94" s="27"/>
      <c r="M94" s="27"/>
      <c r="N94" s="1">
        <v>2</v>
      </c>
      <c r="O94" s="27">
        <f t="shared" si="4"/>
        <v>0</v>
      </c>
      <c r="P94" s="27"/>
      <c r="Q94" s="27"/>
      <c r="R94" s="20"/>
    </row>
    <row r="95" spans="1:38" ht="15" customHeight="1">
      <c r="A95" s="24"/>
      <c r="B95" s="23" t="s">
        <v>71</v>
      </c>
      <c r="C95" s="24" t="s">
        <v>18</v>
      </c>
      <c r="D95" s="23"/>
      <c r="E95" s="23" t="s">
        <v>32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</row>
    <row r="96" spans="1:38" ht="15" customHeight="1">
      <c r="A96" s="24">
        <v>47</v>
      </c>
      <c r="B96" s="23" t="s">
        <v>72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72</v>
      </c>
      <c r="C97" s="24" t="s">
        <v>18</v>
      </c>
      <c r="D97" s="23"/>
      <c r="E97" s="23" t="s">
        <v>19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73</v>
      </c>
      <c r="C98" s="24" t="s">
        <v>18</v>
      </c>
      <c r="D98" s="23"/>
      <c r="E98" s="23" t="s">
        <v>19</v>
      </c>
      <c r="F98" s="23"/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s="7" customFormat="1" ht="15" customHeight="1">
      <c r="A99" s="24">
        <v>49</v>
      </c>
      <c r="B99" s="23" t="s">
        <v>74</v>
      </c>
      <c r="C99" s="24" t="s">
        <v>18</v>
      </c>
      <c r="D99" s="23"/>
      <c r="E99" s="23" t="s">
        <v>19</v>
      </c>
      <c r="F99" s="23" t="s">
        <v>414</v>
      </c>
      <c r="G99" s="23" t="s">
        <v>142</v>
      </c>
      <c r="H99" s="25">
        <v>13</v>
      </c>
      <c r="I99" s="1">
        <v>7</v>
      </c>
      <c r="J99" s="26">
        <v>7</v>
      </c>
      <c r="K99" s="27">
        <f t="shared" si="3"/>
        <v>0</v>
      </c>
      <c r="L99" s="27"/>
      <c r="M99" s="27"/>
      <c r="N99" s="1">
        <v>8</v>
      </c>
      <c r="O99" s="27">
        <f t="shared" si="4"/>
        <v>8926.48</v>
      </c>
      <c r="P99" s="27">
        <v>8926.48</v>
      </c>
      <c r="Q99" s="27"/>
      <c r="R99" s="20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 spans="1:38" s="7" customFormat="1" ht="15" customHeight="1">
      <c r="A100" s="24">
        <v>50</v>
      </c>
      <c r="B100" s="23" t="s">
        <v>312</v>
      </c>
      <c r="C100" s="24" t="s">
        <v>18</v>
      </c>
      <c r="D100" s="23"/>
      <c r="E100" s="23" t="s">
        <v>19</v>
      </c>
      <c r="F100" s="23" t="s">
        <v>415</v>
      </c>
      <c r="G100" s="23" t="s">
        <v>142</v>
      </c>
      <c r="H100" s="25">
        <v>7</v>
      </c>
      <c r="I100" s="1">
        <v>3</v>
      </c>
      <c r="J100" s="26">
        <v>3</v>
      </c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s="7" customFormat="1" ht="15" customHeight="1">
      <c r="A101" s="24"/>
      <c r="B101" s="23" t="s">
        <v>312</v>
      </c>
      <c r="C101" s="24" t="s">
        <v>18</v>
      </c>
      <c r="D101" s="23"/>
      <c r="E101" s="23" t="s">
        <v>304</v>
      </c>
      <c r="F101" s="23" t="s">
        <v>339</v>
      </c>
      <c r="G101" s="23" t="s">
        <v>131</v>
      </c>
      <c r="H101" s="25">
        <v>10</v>
      </c>
      <c r="I101" s="1">
        <v>1</v>
      </c>
      <c r="J101" s="26">
        <v>1</v>
      </c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/>
      <c r="B102" s="23" t="s">
        <v>312</v>
      </c>
      <c r="C102" s="24" t="s">
        <v>18</v>
      </c>
      <c r="D102" s="23"/>
      <c r="E102" s="23" t="s">
        <v>41</v>
      </c>
      <c r="F102" s="23" t="s">
        <v>365</v>
      </c>
      <c r="G102" s="23" t="s">
        <v>136</v>
      </c>
      <c r="H102" s="25">
        <v>9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ht="15" customHeight="1">
      <c r="A103" s="24">
        <v>51</v>
      </c>
      <c r="B103" s="23" t="s">
        <v>75</v>
      </c>
      <c r="C103" s="24" t="s">
        <v>18</v>
      </c>
      <c r="D103" s="23"/>
      <c r="E103" s="23" t="s">
        <v>19</v>
      </c>
      <c r="F103" s="23" t="s">
        <v>416</v>
      </c>
      <c r="G103" s="23" t="s">
        <v>142</v>
      </c>
      <c r="H103" s="25">
        <v>9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17</v>
      </c>
      <c r="O103" s="27">
        <f>P103+Q103</f>
        <v>25135.54</v>
      </c>
      <c r="P103" s="27">
        <f>7142.66+6007.6+11985.28</f>
        <v>25135.54</v>
      </c>
      <c r="Q103" s="27"/>
      <c r="R103" s="20"/>
    </row>
    <row r="104" spans="1:38" ht="13.15" customHeight="1">
      <c r="A104" s="24"/>
      <c r="B104" s="23" t="s">
        <v>75</v>
      </c>
      <c r="C104" s="24" t="s">
        <v>18</v>
      </c>
      <c r="D104" s="23"/>
      <c r="E104" s="23" t="s">
        <v>76</v>
      </c>
      <c r="F104" s="23" t="s">
        <v>335</v>
      </c>
      <c r="G104" s="23" t="s">
        <v>131</v>
      </c>
      <c r="H104" s="25">
        <v>4</v>
      </c>
      <c r="I104" s="1"/>
      <c r="J104" s="26"/>
      <c r="K104" s="27">
        <f t="shared" si="3"/>
        <v>0</v>
      </c>
      <c r="L104" s="27"/>
      <c r="M104" s="27"/>
      <c r="N104" s="1">
        <v>5</v>
      </c>
      <c r="O104" s="27">
        <f>P104+Q104</f>
        <v>3171.6</v>
      </c>
      <c r="P104" s="27">
        <v>3171.6</v>
      </c>
      <c r="Q104" s="27"/>
      <c r="R104" s="20"/>
    </row>
    <row r="105" spans="1:38" ht="15" customHeight="1">
      <c r="A105" s="24"/>
      <c r="B105" s="23" t="s">
        <v>140</v>
      </c>
      <c r="C105" s="24" t="s">
        <v>18</v>
      </c>
      <c r="D105" s="23"/>
      <c r="E105" s="23" t="s">
        <v>76</v>
      </c>
      <c r="F105" s="23" t="s">
        <v>377</v>
      </c>
      <c r="G105" s="23" t="s">
        <v>136</v>
      </c>
      <c r="H105" s="25">
        <v>6</v>
      </c>
      <c r="I105" s="2"/>
      <c r="J105" s="26"/>
      <c r="K105" s="27">
        <f t="shared" si="3"/>
        <v>0</v>
      </c>
      <c r="L105" s="27"/>
      <c r="M105" s="27"/>
      <c r="N105" s="2">
        <v>20</v>
      </c>
      <c r="O105" s="27">
        <f>P105+Q105</f>
        <v>10882.75</v>
      </c>
      <c r="P105" s="35">
        <v>10882.75</v>
      </c>
      <c r="Q105" s="27"/>
      <c r="R105" s="20"/>
    </row>
    <row r="106" spans="1:38" s="17" customFormat="1" ht="15" customHeight="1">
      <c r="A106" s="24">
        <v>52</v>
      </c>
      <c r="B106" s="23" t="s">
        <v>267</v>
      </c>
      <c r="C106" s="24" t="s">
        <v>18</v>
      </c>
      <c r="D106" s="23"/>
      <c r="E106" s="23" t="s">
        <v>19</v>
      </c>
      <c r="F106" s="23" t="s">
        <v>268</v>
      </c>
      <c r="G106" s="23" t="s">
        <v>142</v>
      </c>
      <c r="H106" s="25">
        <v>0</v>
      </c>
      <c r="I106" s="2"/>
      <c r="J106" s="26"/>
      <c r="K106" s="27">
        <f t="shared" si="3"/>
        <v>0</v>
      </c>
      <c r="L106" s="27"/>
      <c r="M106" s="27"/>
      <c r="N106" s="2"/>
      <c r="O106" s="27">
        <f>P106+Q106</f>
        <v>0</v>
      </c>
      <c r="P106" s="27"/>
      <c r="Q106" s="27"/>
      <c r="R106" s="20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38" s="17" customFormat="1" ht="15" customHeight="1">
      <c r="A107" s="24"/>
      <c r="B107" s="23" t="s">
        <v>267</v>
      </c>
      <c r="C107" s="24" t="s">
        <v>18</v>
      </c>
      <c r="D107" s="23"/>
      <c r="E107" s="23" t="s">
        <v>19</v>
      </c>
      <c r="F107" s="23" t="s">
        <v>336</v>
      </c>
      <c r="G107" s="23" t="s">
        <v>131</v>
      </c>
      <c r="H107" s="25">
        <v>5</v>
      </c>
      <c r="I107" s="2"/>
      <c r="J107" s="26"/>
      <c r="K107" s="27">
        <f t="shared" si="3"/>
        <v>0</v>
      </c>
      <c r="L107" s="27"/>
      <c r="M107" s="27"/>
      <c r="N107" s="2">
        <v>2</v>
      </c>
      <c r="O107" s="27">
        <f t="shared" ref="O107:O111" si="5">P107+Q107</f>
        <v>1703.9</v>
      </c>
      <c r="P107" s="27">
        <v>1703.9</v>
      </c>
      <c r="Q107" s="27"/>
      <c r="R107" s="20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:38" ht="15" customHeight="1">
      <c r="A108" s="24"/>
      <c r="B108" s="23" t="s">
        <v>267</v>
      </c>
      <c r="C108" s="24" t="s">
        <v>18</v>
      </c>
      <c r="D108" s="23"/>
      <c r="E108" s="23" t="s">
        <v>19</v>
      </c>
      <c r="F108" s="23" t="s">
        <v>455</v>
      </c>
      <c r="G108" s="23" t="s">
        <v>122</v>
      </c>
      <c r="H108" s="25">
        <v>3</v>
      </c>
      <c r="I108" s="2"/>
      <c r="J108" s="26"/>
      <c r="K108" s="27">
        <f t="shared" si="3"/>
        <v>0</v>
      </c>
      <c r="L108" s="27"/>
      <c r="M108" s="27"/>
      <c r="N108" s="2">
        <v>1</v>
      </c>
      <c r="O108" s="27">
        <f t="shared" si="5"/>
        <v>0</v>
      </c>
      <c r="P108" s="27"/>
      <c r="Q108" s="27"/>
      <c r="R108" s="20"/>
    </row>
    <row r="109" spans="1:38" ht="15" customHeight="1">
      <c r="A109" s="24">
        <v>53</v>
      </c>
      <c r="B109" s="23" t="s">
        <v>306</v>
      </c>
      <c r="C109" s="24" t="s">
        <v>18</v>
      </c>
      <c r="D109" s="23"/>
      <c r="E109" s="23" t="s">
        <v>104</v>
      </c>
      <c r="F109" s="23" t="s">
        <v>417</v>
      </c>
      <c r="G109" s="23" t="s">
        <v>142</v>
      </c>
      <c r="H109" s="25">
        <v>8</v>
      </c>
      <c r="I109" s="2">
        <v>2</v>
      </c>
      <c r="J109" s="26">
        <v>2</v>
      </c>
      <c r="K109" s="27">
        <v>0</v>
      </c>
      <c r="L109" s="27"/>
      <c r="M109" s="27"/>
      <c r="N109" s="2"/>
      <c r="O109" s="27">
        <v>0</v>
      </c>
      <c r="P109" s="27"/>
      <c r="Q109" s="27"/>
      <c r="R109" s="20"/>
    </row>
    <row r="110" spans="1:38" ht="15" customHeight="1">
      <c r="A110" s="24"/>
      <c r="B110" s="23" t="s">
        <v>306</v>
      </c>
      <c r="C110" s="24" t="s">
        <v>30</v>
      </c>
      <c r="D110" s="23" t="s">
        <v>334</v>
      </c>
      <c r="E110" s="23" t="s">
        <v>104</v>
      </c>
      <c r="F110" s="23" t="s">
        <v>340</v>
      </c>
      <c r="G110" s="23" t="s">
        <v>131</v>
      </c>
      <c r="H110" s="25">
        <v>7</v>
      </c>
      <c r="I110" s="2"/>
      <c r="J110" s="26"/>
      <c r="K110" s="27">
        <f t="shared" si="3"/>
        <v>0</v>
      </c>
      <c r="L110" s="27"/>
      <c r="M110" s="27"/>
      <c r="N110" s="2"/>
      <c r="O110" s="27">
        <f t="shared" si="5"/>
        <v>0</v>
      </c>
      <c r="P110" s="27"/>
      <c r="Q110" s="27"/>
      <c r="R110" s="20"/>
    </row>
    <row r="111" spans="1:38" ht="15" customHeight="1">
      <c r="A111" s="24"/>
      <c r="B111" s="23" t="s">
        <v>306</v>
      </c>
      <c r="C111" s="24" t="s">
        <v>30</v>
      </c>
      <c r="D111" s="23" t="s">
        <v>307</v>
      </c>
      <c r="E111" s="23" t="s">
        <v>19</v>
      </c>
      <c r="F111" s="23" t="s">
        <v>350</v>
      </c>
      <c r="G111" s="23" t="s">
        <v>122</v>
      </c>
      <c r="H111" s="25">
        <v>5</v>
      </c>
      <c r="I111" s="2">
        <v>1</v>
      </c>
      <c r="J111" s="26">
        <v>1</v>
      </c>
      <c r="K111" s="27">
        <f t="shared" si="3"/>
        <v>0</v>
      </c>
      <c r="L111" s="27"/>
      <c r="M111" s="27"/>
      <c r="N111" s="2"/>
      <c r="O111" s="27">
        <f t="shared" si="5"/>
        <v>0</v>
      </c>
      <c r="P111" s="27"/>
      <c r="Q111" s="27"/>
      <c r="R111" s="20"/>
    </row>
    <row r="112" spans="1:38" ht="30.75" customHeight="1">
      <c r="A112" s="24">
        <v>54</v>
      </c>
      <c r="B112" s="23" t="s">
        <v>78</v>
      </c>
      <c r="C112" s="24" t="s">
        <v>18</v>
      </c>
      <c r="D112" s="23" t="s">
        <v>276</v>
      </c>
      <c r="E112" s="23" t="s">
        <v>19</v>
      </c>
      <c r="F112" s="23" t="s">
        <v>418</v>
      </c>
      <c r="G112" s="23" t="s">
        <v>142</v>
      </c>
      <c r="H112" s="25">
        <v>15</v>
      </c>
      <c r="I112" s="1">
        <v>11</v>
      </c>
      <c r="J112" s="26">
        <v>11</v>
      </c>
      <c r="K112" s="27">
        <f t="shared" si="3"/>
        <v>0</v>
      </c>
      <c r="L112" s="27"/>
      <c r="M112" s="27"/>
      <c r="N112" s="1">
        <v>4</v>
      </c>
      <c r="O112" s="27">
        <f t="shared" si="4"/>
        <v>0</v>
      </c>
      <c r="P112" s="27"/>
      <c r="Q112" s="27"/>
      <c r="R112" s="20"/>
    </row>
    <row r="113" spans="1:38" s="7" customFormat="1" ht="15" customHeight="1">
      <c r="A113" s="24"/>
      <c r="B113" s="23" t="s">
        <v>78</v>
      </c>
      <c r="C113" s="24" t="s">
        <v>18</v>
      </c>
      <c r="D113" s="23"/>
      <c r="E113" s="23" t="s">
        <v>19</v>
      </c>
      <c r="F113" s="23" t="s">
        <v>120</v>
      </c>
      <c r="G113" s="23" t="s">
        <v>131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20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 spans="1:38" ht="15" customHeight="1">
      <c r="A114" s="24"/>
      <c r="B114" s="23" t="s">
        <v>78</v>
      </c>
      <c r="C114" s="24" t="s">
        <v>18</v>
      </c>
      <c r="D114" s="23"/>
      <c r="E114" s="23" t="s">
        <v>19</v>
      </c>
      <c r="F114" s="23" t="s">
        <v>120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</row>
    <row r="115" spans="1:38" ht="15" customHeight="1">
      <c r="A115" s="24">
        <v>55</v>
      </c>
      <c r="B115" s="23" t="s">
        <v>79</v>
      </c>
      <c r="C115" s="24" t="s">
        <v>18</v>
      </c>
      <c r="D115" s="23"/>
      <c r="E115" s="23" t="s">
        <v>19</v>
      </c>
      <c r="F115" s="23"/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</row>
    <row r="116" spans="1:38" ht="15" customHeight="1">
      <c r="A116" s="24">
        <v>56</v>
      </c>
      <c r="B116" s="23" t="s">
        <v>80</v>
      </c>
      <c r="C116" s="24" t="s">
        <v>18</v>
      </c>
      <c r="D116" s="23"/>
      <c r="E116" s="23" t="s">
        <v>19</v>
      </c>
      <c r="F116" s="23" t="s">
        <v>419</v>
      </c>
      <c r="G116" s="23" t="s">
        <v>142</v>
      </c>
      <c r="H116" s="25">
        <v>15</v>
      </c>
      <c r="I116" s="1">
        <v>9</v>
      </c>
      <c r="J116" s="26">
        <v>10</v>
      </c>
      <c r="K116" s="27">
        <f t="shared" si="3"/>
        <v>0</v>
      </c>
      <c r="L116" s="27"/>
      <c r="M116" s="27"/>
      <c r="N116" s="1">
        <v>6</v>
      </c>
      <c r="O116" s="27">
        <f t="shared" si="4"/>
        <v>0</v>
      </c>
      <c r="P116" s="27"/>
      <c r="Q116" s="27"/>
      <c r="R116" s="20"/>
    </row>
    <row r="117" spans="1:38" s="7" customFormat="1" ht="15" customHeight="1">
      <c r="A117" s="24"/>
      <c r="B117" s="23" t="s">
        <v>80</v>
      </c>
      <c r="C117" s="24" t="s">
        <v>18</v>
      </c>
      <c r="D117" s="23"/>
      <c r="E117" s="23" t="s">
        <v>19</v>
      </c>
      <c r="F117" s="23" t="s">
        <v>120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s="7" customFormat="1" ht="15" customHeight="1">
      <c r="A118" s="24">
        <v>57</v>
      </c>
      <c r="B118" s="23" t="s">
        <v>372</v>
      </c>
      <c r="C118" s="24" t="s">
        <v>18</v>
      </c>
      <c r="D118" s="23"/>
      <c r="E118" s="23" t="s">
        <v>19</v>
      </c>
      <c r="F118" s="23" t="s">
        <v>420</v>
      </c>
      <c r="G118" s="23" t="s">
        <v>142</v>
      </c>
      <c r="H118" s="25">
        <v>7</v>
      </c>
      <c r="I118" s="1"/>
      <c r="J118" s="26"/>
      <c r="K118" s="27">
        <v>0</v>
      </c>
      <c r="L118" s="27"/>
      <c r="M118" s="27"/>
      <c r="N118" s="1"/>
      <c r="O118" s="27">
        <v>0</v>
      </c>
      <c r="P118" s="27"/>
      <c r="Q118" s="27"/>
      <c r="R118" s="20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 spans="1:38" s="7" customFormat="1" ht="15" customHeight="1">
      <c r="A119" s="24">
        <v>58</v>
      </c>
      <c r="B119" s="23" t="s">
        <v>313</v>
      </c>
      <c r="C119" s="24" t="s">
        <v>18</v>
      </c>
      <c r="D119" s="23"/>
      <c r="E119" s="23"/>
      <c r="F119" s="23" t="s">
        <v>342</v>
      </c>
      <c r="G119" s="23" t="s">
        <v>131</v>
      </c>
      <c r="H119" s="25">
        <v>1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/>
      <c r="B120" s="23" t="s">
        <v>313</v>
      </c>
      <c r="C120" s="24" t="s">
        <v>18</v>
      </c>
      <c r="D120" s="23"/>
      <c r="E120" s="23" t="s">
        <v>41</v>
      </c>
      <c r="F120" s="23" t="s">
        <v>366</v>
      </c>
      <c r="G120" s="23" t="s">
        <v>136</v>
      </c>
      <c r="H120" s="25">
        <v>9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373</v>
      </c>
      <c r="C121" s="24" t="s">
        <v>52</v>
      </c>
      <c r="D121" s="23" t="s">
        <v>378</v>
      </c>
      <c r="E121" s="23" t="s">
        <v>104</v>
      </c>
      <c r="F121" s="23" t="s">
        <v>422</v>
      </c>
      <c r="G121" s="23" t="s">
        <v>142</v>
      </c>
      <c r="H121" s="25">
        <v>4</v>
      </c>
      <c r="I121" s="1"/>
      <c r="J121" s="26"/>
      <c r="K121" s="27">
        <v>0</v>
      </c>
      <c r="L121" s="27"/>
      <c r="M121" s="27"/>
      <c r="N121" s="1"/>
      <c r="O121" s="27"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ht="15" customHeight="1">
      <c r="A122" s="24">
        <v>60</v>
      </c>
      <c r="B122" s="23" t="s">
        <v>81</v>
      </c>
      <c r="C122" s="24" t="s">
        <v>18</v>
      </c>
      <c r="D122" s="23"/>
      <c r="E122" s="23" t="s">
        <v>19</v>
      </c>
      <c r="F122" s="23" t="s">
        <v>421</v>
      </c>
      <c r="G122" s="23" t="s">
        <v>142</v>
      </c>
      <c r="H122" s="25">
        <v>5</v>
      </c>
      <c r="I122" s="1"/>
      <c r="J122" s="26"/>
      <c r="K122" s="27">
        <f t="shared" si="3"/>
        <v>0</v>
      </c>
      <c r="L122" s="27"/>
      <c r="M122" s="27"/>
      <c r="N122" s="1">
        <v>4</v>
      </c>
      <c r="O122" s="27">
        <f t="shared" si="4"/>
        <v>2479.17</v>
      </c>
      <c r="P122" s="27">
        <v>2479.17</v>
      </c>
      <c r="Q122" s="27"/>
      <c r="R122" s="20"/>
    </row>
    <row r="123" spans="1:38" ht="15" customHeight="1">
      <c r="A123" s="24"/>
      <c r="B123" s="23" t="s">
        <v>81</v>
      </c>
      <c r="C123" s="24" t="s">
        <v>18</v>
      </c>
      <c r="D123" s="23"/>
      <c r="E123" s="23" t="s">
        <v>19</v>
      </c>
      <c r="F123" s="23" t="s">
        <v>453</v>
      </c>
      <c r="G123" s="23" t="s">
        <v>122</v>
      </c>
      <c r="H123" s="25">
        <v>1</v>
      </c>
      <c r="I123" s="1"/>
      <c r="J123" s="26"/>
      <c r="K123" s="27">
        <f t="shared" si="3"/>
        <v>0</v>
      </c>
      <c r="L123" s="27"/>
      <c r="M123" s="27"/>
      <c r="N123" s="1">
        <v>1</v>
      </c>
      <c r="O123" s="27">
        <f t="shared" si="4"/>
        <v>0</v>
      </c>
      <c r="P123" s="27"/>
      <c r="Q123" s="27"/>
      <c r="R123" s="20"/>
    </row>
    <row r="124" spans="1:38" s="7" customFormat="1" ht="15" customHeight="1">
      <c r="A124" s="24">
        <v>61</v>
      </c>
      <c r="B124" s="23" t="s">
        <v>82</v>
      </c>
      <c r="C124" s="24" t="s">
        <v>18</v>
      </c>
      <c r="D124" s="23"/>
      <c r="E124" s="23" t="s">
        <v>19</v>
      </c>
      <c r="F124" s="23" t="s">
        <v>423</v>
      </c>
      <c r="G124" s="23" t="s">
        <v>142</v>
      </c>
      <c r="H124" s="25">
        <v>11</v>
      </c>
      <c r="I124" s="1">
        <v>10</v>
      </c>
      <c r="J124" s="26">
        <v>10</v>
      </c>
      <c r="K124" s="27">
        <f t="shared" si="3"/>
        <v>0</v>
      </c>
      <c r="L124" s="27"/>
      <c r="M124" s="27"/>
      <c r="N124" s="1">
        <v>7</v>
      </c>
      <c r="O124" s="27">
        <f t="shared" si="4"/>
        <v>7901.7</v>
      </c>
      <c r="P124" s="27">
        <v>7901.7</v>
      </c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s="7" customFormat="1" ht="15" customHeight="1">
      <c r="A125" s="24"/>
      <c r="B125" s="23" t="s">
        <v>82</v>
      </c>
      <c r="C125" s="24" t="s">
        <v>18</v>
      </c>
      <c r="D125" s="23"/>
      <c r="E125" s="23" t="s">
        <v>19</v>
      </c>
      <c r="F125" s="23" t="s">
        <v>295</v>
      </c>
      <c r="G125" s="23" t="s">
        <v>122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>
        <v>2</v>
      </c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4.45" customHeight="1">
      <c r="A126" s="24">
        <v>62</v>
      </c>
      <c r="B126" s="23" t="s">
        <v>83</v>
      </c>
      <c r="C126" s="24" t="s">
        <v>30</v>
      </c>
      <c r="D126" s="23" t="s">
        <v>184</v>
      </c>
      <c r="E126" s="23" t="s">
        <v>19</v>
      </c>
      <c r="F126" s="23" t="s">
        <v>424</v>
      </c>
      <c r="G126" s="23" t="s">
        <v>142</v>
      </c>
      <c r="H126" s="25">
        <v>33</v>
      </c>
      <c r="I126" s="1">
        <v>27</v>
      </c>
      <c r="J126" s="26">
        <v>27</v>
      </c>
      <c r="K126" s="27">
        <f t="shared" si="3"/>
        <v>0</v>
      </c>
      <c r="L126" s="27"/>
      <c r="M126" s="27"/>
      <c r="N126" s="1">
        <v>10</v>
      </c>
      <c r="O126" s="27">
        <f t="shared" si="4"/>
        <v>4741.68</v>
      </c>
      <c r="P126" s="27">
        <v>4741.68</v>
      </c>
      <c r="Q126" s="27"/>
      <c r="R126" s="20"/>
    </row>
    <row r="127" spans="1:38" ht="14.45" customHeight="1">
      <c r="A127" s="24">
        <v>63</v>
      </c>
      <c r="B127" s="23" t="s">
        <v>303</v>
      </c>
      <c r="C127" s="24" t="s">
        <v>18</v>
      </c>
      <c r="D127" s="23"/>
      <c r="E127" s="23" t="s">
        <v>304</v>
      </c>
      <c r="F127" s="23" t="s">
        <v>298</v>
      </c>
      <c r="G127" s="23" t="s">
        <v>131</v>
      </c>
      <c r="H127" s="25">
        <v>8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s="7" customFormat="1" ht="15" customHeight="1">
      <c r="A128" s="24">
        <v>64</v>
      </c>
      <c r="B128" s="23" t="s">
        <v>84</v>
      </c>
      <c r="C128" s="24" t="s">
        <v>18</v>
      </c>
      <c r="D128" s="23"/>
      <c r="E128" s="23" t="s">
        <v>19</v>
      </c>
      <c r="F128" s="23" t="s">
        <v>425</v>
      </c>
      <c r="G128" s="23" t="s">
        <v>142</v>
      </c>
      <c r="H128" s="25">
        <v>15</v>
      </c>
      <c r="I128" s="1">
        <v>10</v>
      </c>
      <c r="J128" s="26">
        <v>10</v>
      </c>
      <c r="K128" s="27">
        <f t="shared" si="3"/>
        <v>0</v>
      </c>
      <c r="L128" s="27"/>
      <c r="M128" s="27"/>
      <c r="N128" s="1">
        <v>9</v>
      </c>
      <c r="O128" s="27">
        <f t="shared" si="4"/>
        <v>3710.9</v>
      </c>
      <c r="P128" s="27">
        <f>919.46+2791.44</f>
        <v>3710.9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ht="15" customHeight="1">
      <c r="A129" s="24"/>
      <c r="B129" s="23" t="s">
        <v>84</v>
      </c>
      <c r="C129" s="24" t="s">
        <v>18</v>
      </c>
      <c r="D129" s="23"/>
      <c r="E129" s="23" t="s">
        <v>19</v>
      </c>
      <c r="F129" s="23" t="s">
        <v>123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65</v>
      </c>
      <c r="B130" s="23" t="s">
        <v>85</v>
      </c>
      <c r="C130" s="24" t="s">
        <v>18</v>
      </c>
      <c r="D130" s="23"/>
      <c r="E130" s="23" t="s">
        <v>77</v>
      </c>
      <c r="F130" s="23" t="s">
        <v>426</v>
      </c>
      <c r="G130" s="23" t="s">
        <v>142</v>
      </c>
      <c r="H130" s="25">
        <v>16</v>
      </c>
      <c r="I130" s="1">
        <v>4</v>
      </c>
      <c r="J130" s="26">
        <v>4</v>
      </c>
      <c r="K130" s="27">
        <f t="shared" si="3"/>
        <v>0</v>
      </c>
      <c r="L130" s="27"/>
      <c r="M130" s="27"/>
      <c r="N130" s="1">
        <v>14</v>
      </c>
      <c r="O130" s="27">
        <f t="shared" si="4"/>
        <v>0</v>
      </c>
      <c r="P130" s="27"/>
      <c r="Q130" s="27"/>
      <c r="R130" s="20"/>
    </row>
    <row r="131" spans="1:38" ht="15" customHeight="1">
      <c r="A131" s="24"/>
      <c r="B131" s="23" t="s">
        <v>85</v>
      </c>
      <c r="C131" s="24" t="s">
        <v>18</v>
      </c>
      <c r="D131" s="23"/>
      <c r="E131" s="23" t="s">
        <v>301</v>
      </c>
      <c r="F131" s="23" t="s">
        <v>337</v>
      </c>
      <c r="G131" s="23" t="s">
        <v>131</v>
      </c>
      <c r="H131" s="25">
        <v>26</v>
      </c>
      <c r="I131" s="1">
        <v>2</v>
      </c>
      <c r="J131" s="26">
        <v>2</v>
      </c>
      <c r="K131" s="27">
        <f t="shared" si="3"/>
        <v>0</v>
      </c>
      <c r="L131" s="27"/>
      <c r="M131" s="27"/>
      <c r="N131" s="1">
        <v>5</v>
      </c>
      <c r="O131" s="27">
        <f t="shared" si="4"/>
        <v>462.53</v>
      </c>
      <c r="P131" s="27">
        <v>462.53</v>
      </c>
      <c r="Q131" s="27"/>
      <c r="R131" s="20"/>
    </row>
    <row r="132" spans="1:38" ht="15" customHeight="1">
      <c r="A132" s="24">
        <v>66</v>
      </c>
      <c r="B132" s="23" t="s">
        <v>86</v>
      </c>
      <c r="C132" s="24" t="s">
        <v>18</v>
      </c>
      <c r="D132" s="23"/>
      <c r="E132" s="23" t="s">
        <v>77</v>
      </c>
      <c r="F132" s="23" t="s">
        <v>427</v>
      </c>
      <c r="G132" s="23" t="s">
        <v>142</v>
      </c>
      <c r="H132" s="25">
        <v>13</v>
      </c>
      <c r="I132" s="1">
        <v>3</v>
      </c>
      <c r="J132" s="26">
        <v>3</v>
      </c>
      <c r="K132" s="27">
        <f t="shared" si="3"/>
        <v>0</v>
      </c>
      <c r="L132" s="27"/>
      <c r="M132" s="27"/>
      <c r="N132" s="1">
        <v>8</v>
      </c>
      <c r="O132" s="27">
        <f t="shared" si="4"/>
        <v>9188.7999999999993</v>
      </c>
      <c r="P132" s="27">
        <f>1359.87+2464.36+5364.57</f>
        <v>9188.7999999999993</v>
      </c>
      <c r="Q132" s="27"/>
      <c r="R132" s="20"/>
    </row>
    <row r="133" spans="1:38" ht="15" customHeight="1">
      <c r="A133" s="24"/>
      <c r="B133" s="23" t="s">
        <v>86</v>
      </c>
      <c r="C133" s="24" t="s">
        <v>18</v>
      </c>
      <c r="D133" s="23"/>
      <c r="E133" s="23" t="s">
        <v>301</v>
      </c>
      <c r="F133" s="23" t="s">
        <v>338</v>
      </c>
      <c r="G133" s="23" t="s">
        <v>131</v>
      </c>
      <c r="H133" s="25">
        <v>1</v>
      </c>
      <c r="I133" s="1"/>
      <c r="J133" s="26"/>
      <c r="K133" s="27">
        <f t="shared" si="3"/>
        <v>0</v>
      </c>
      <c r="L133" s="27"/>
      <c r="M133" s="27"/>
      <c r="N133" s="1">
        <v>2</v>
      </c>
      <c r="O133" s="27">
        <f t="shared" si="4"/>
        <v>0</v>
      </c>
      <c r="P133" s="27"/>
      <c r="Q133" s="27"/>
      <c r="R133" s="20"/>
    </row>
    <row r="134" spans="1:38" ht="28.9" customHeight="1">
      <c r="A134" s="29">
        <v>67</v>
      </c>
      <c r="B134" s="30" t="s">
        <v>87</v>
      </c>
      <c r="C134" s="29" t="s">
        <v>52</v>
      </c>
      <c r="D134" s="30" t="s">
        <v>88</v>
      </c>
      <c r="E134" s="30" t="s">
        <v>19</v>
      </c>
      <c r="F134" s="30" t="s">
        <v>292</v>
      </c>
      <c r="G134" s="30" t="s">
        <v>142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>
        <v>1</v>
      </c>
      <c r="O134" s="27">
        <f t="shared" si="4"/>
        <v>0</v>
      </c>
      <c r="P134" s="27"/>
      <c r="Q134" s="27"/>
      <c r="R134" s="20"/>
    </row>
    <row r="135" spans="1:38" ht="29.25" customHeight="1">
      <c r="A135" s="29"/>
      <c r="B135" s="30" t="s">
        <v>87</v>
      </c>
      <c r="C135" s="29" t="s">
        <v>52</v>
      </c>
      <c r="D135" s="30" t="s">
        <v>88</v>
      </c>
      <c r="E135" s="30" t="s">
        <v>19</v>
      </c>
      <c r="F135" s="30" t="s">
        <v>376</v>
      </c>
      <c r="G135" s="30" t="s">
        <v>122</v>
      </c>
      <c r="H135" s="25">
        <v>9</v>
      </c>
      <c r="I135" s="1"/>
      <c r="J135" s="26"/>
      <c r="K135" s="27">
        <f t="shared" si="3"/>
        <v>0</v>
      </c>
      <c r="L135" s="27"/>
      <c r="M135" s="27"/>
      <c r="N135" s="1">
        <v>3</v>
      </c>
      <c r="O135" s="27">
        <f t="shared" si="4"/>
        <v>440.5</v>
      </c>
      <c r="P135" s="27">
        <v>440.5</v>
      </c>
      <c r="Q135" s="27"/>
      <c r="R135" s="20"/>
    </row>
    <row r="136" spans="1:38" ht="26.25" customHeight="1">
      <c r="A136" s="24">
        <v>68</v>
      </c>
      <c r="B136" s="23" t="s">
        <v>89</v>
      </c>
      <c r="C136" s="24" t="s">
        <v>18</v>
      </c>
      <c r="D136" s="23"/>
      <c r="E136" s="23" t="s">
        <v>19</v>
      </c>
      <c r="F136" s="23" t="s">
        <v>428</v>
      </c>
      <c r="G136" s="23" t="s">
        <v>142</v>
      </c>
      <c r="H136" s="25">
        <v>6</v>
      </c>
      <c r="I136" s="1">
        <v>1</v>
      </c>
      <c r="J136" s="26">
        <v>1</v>
      </c>
      <c r="K136" s="27">
        <f t="shared" si="3"/>
        <v>0</v>
      </c>
      <c r="L136" s="27"/>
      <c r="M136" s="27"/>
      <c r="N136" s="1">
        <v>7</v>
      </c>
      <c r="O136" s="27">
        <f t="shared" si="4"/>
        <v>1217</v>
      </c>
      <c r="P136" s="27">
        <v>1217</v>
      </c>
      <c r="Q136" s="27"/>
      <c r="R136" s="20"/>
    </row>
    <row r="137" spans="1:38" s="7" customFormat="1" ht="15" customHeight="1">
      <c r="A137" s="24"/>
      <c r="B137" s="23" t="s">
        <v>89</v>
      </c>
      <c r="C137" s="24" t="s">
        <v>18</v>
      </c>
      <c r="D137" s="23"/>
      <c r="E137" s="23" t="s">
        <v>19</v>
      </c>
      <c r="F137" s="23" t="s">
        <v>454</v>
      </c>
      <c r="G137" s="23" t="s">
        <v>122</v>
      </c>
      <c r="H137" s="25">
        <v>2</v>
      </c>
      <c r="I137" s="1"/>
      <c r="J137" s="26"/>
      <c r="K137" s="27">
        <f t="shared" si="3"/>
        <v>0</v>
      </c>
      <c r="L137" s="27"/>
      <c r="M137" s="27"/>
      <c r="N137" s="1">
        <v>1</v>
      </c>
      <c r="O137" s="27">
        <f t="shared" si="4"/>
        <v>0</v>
      </c>
      <c r="P137" s="27"/>
      <c r="Q137" s="27"/>
      <c r="R137" s="20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 spans="1:38" ht="15" customHeight="1">
      <c r="A138" s="24">
        <v>69</v>
      </c>
      <c r="B138" s="23" t="s">
        <v>90</v>
      </c>
      <c r="C138" s="24" t="s">
        <v>18</v>
      </c>
      <c r="D138" s="23"/>
      <c r="E138" s="23" t="s">
        <v>19</v>
      </c>
      <c r="F138" s="23" t="s">
        <v>429</v>
      </c>
      <c r="G138" s="23" t="s">
        <v>142</v>
      </c>
      <c r="H138" s="25">
        <v>6</v>
      </c>
      <c r="I138" s="1">
        <v>3</v>
      </c>
      <c r="J138" s="26">
        <v>3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20"/>
    </row>
    <row r="139" spans="1:38" s="7" customFormat="1" ht="15" customHeight="1">
      <c r="A139" s="24">
        <v>70</v>
      </c>
      <c r="B139" s="23" t="s">
        <v>91</v>
      </c>
      <c r="C139" s="24" t="s">
        <v>18</v>
      </c>
      <c r="D139" s="23"/>
      <c r="E139" s="23" t="s">
        <v>92</v>
      </c>
      <c r="F139" s="23" t="s">
        <v>292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13</v>
      </c>
      <c r="O139" s="27">
        <f t="shared" si="4"/>
        <v>0</v>
      </c>
      <c r="P139" s="27"/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s="7" customFormat="1" ht="15" customHeight="1">
      <c r="A140" s="24"/>
      <c r="B140" s="23" t="s">
        <v>91</v>
      </c>
      <c r="C140" s="24" t="s">
        <v>18</v>
      </c>
      <c r="D140" s="23"/>
      <c r="E140" s="23" t="s">
        <v>92</v>
      </c>
      <c r="F140" s="23" t="s">
        <v>123</v>
      </c>
      <c r="G140" s="23" t="s">
        <v>136</v>
      </c>
      <c r="H140" s="25">
        <v>0</v>
      </c>
      <c r="I140" s="2"/>
      <c r="J140" s="26"/>
      <c r="K140" s="27">
        <f t="shared" si="3"/>
        <v>0</v>
      </c>
      <c r="L140" s="27"/>
      <c r="M140" s="27"/>
      <c r="N140" s="2">
        <v>4</v>
      </c>
      <c r="O140" s="27">
        <f t="shared" si="4"/>
        <v>0</v>
      </c>
      <c r="P140" s="27"/>
      <c r="Q140" s="27"/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15" customHeight="1">
      <c r="A141" s="24">
        <v>71</v>
      </c>
      <c r="B141" s="23" t="s">
        <v>93</v>
      </c>
      <c r="C141" s="24" t="s">
        <v>18</v>
      </c>
      <c r="D141" s="23"/>
      <c r="E141" s="23" t="s">
        <v>19</v>
      </c>
      <c r="F141" s="23" t="s">
        <v>123</v>
      </c>
      <c r="G141" s="23" t="s">
        <v>142</v>
      </c>
      <c r="H141" s="25">
        <v>0</v>
      </c>
      <c r="I141" s="2"/>
      <c r="J141" s="26"/>
      <c r="K141" s="27">
        <f t="shared" si="3"/>
        <v>0</v>
      </c>
      <c r="L141" s="27"/>
      <c r="M141" s="27"/>
      <c r="N141" s="2">
        <v>1</v>
      </c>
      <c r="O141" s="27">
        <f t="shared" si="4"/>
        <v>0</v>
      </c>
      <c r="P141" s="27"/>
      <c r="Q141" s="27"/>
      <c r="R141" s="20"/>
    </row>
    <row r="142" spans="1:38" s="17" customFormat="1" ht="15" customHeight="1">
      <c r="A142" s="24"/>
      <c r="B142" s="23" t="s">
        <v>93</v>
      </c>
      <c r="C142" s="24" t="s">
        <v>18</v>
      </c>
      <c r="D142" s="23"/>
      <c r="E142" s="23" t="s">
        <v>19</v>
      </c>
      <c r="F142" s="23" t="s">
        <v>120</v>
      </c>
      <c r="G142" s="23" t="s">
        <v>131</v>
      </c>
      <c r="H142" s="25">
        <v>0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</row>
    <row r="143" spans="1:38" ht="15" customHeight="1">
      <c r="A143" s="24"/>
      <c r="B143" s="23" t="s">
        <v>93</v>
      </c>
      <c r="C143" s="24" t="s">
        <v>18</v>
      </c>
      <c r="D143" s="23"/>
      <c r="E143" s="23"/>
      <c r="F143" s="23" t="s">
        <v>268</v>
      </c>
      <c r="G143" s="23" t="s">
        <v>122</v>
      </c>
      <c r="H143" s="25">
        <v>6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792.9</v>
      </c>
      <c r="P143" s="27"/>
      <c r="Q143" s="27">
        <v>792.9</v>
      </c>
      <c r="R143" s="20"/>
    </row>
    <row r="144" spans="1:38" ht="15" customHeight="1">
      <c r="A144" s="24">
        <v>72</v>
      </c>
      <c r="B144" s="23" t="s">
        <v>281</v>
      </c>
      <c r="C144" s="24" t="s">
        <v>18</v>
      </c>
      <c r="D144" s="23"/>
      <c r="E144" s="23" t="s">
        <v>19</v>
      </c>
      <c r="F144" s="23" t="s">
        <v>430</v>
      </c>
      <c r="G144" s="23" t="s">
        <v>142</v>
      </c>
      <c r="H144" s="25">
        <v>6</v>
      </c>
      <c r="I144" s="1">
        <v>4</v>
      </c>
      <c r="J144" s="26">
        <v>4</v>
      </c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281</v>
      </c>
      <c r="C145" s="24" t="s">
        <v>18</v>
      </c>
      <c r="D145" s="23"/>
      <c r="E145" s="23" t="s">
        <v>19</v>
      </c>
      <c r="F145" s="23" t="s">
        <v>285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0</v>
      </c>
      <c r="P145" s="27"/>
      <c r="Q145" s="27"/>
      <c r="R145" s="20"/>
    </row>
    <row r="146" spans="1:38" ht="15" customHeight="1">
      <c r="A146" s="24"/>
      <c r="B146" s="23" t="s">
        <v>281</v>
      </c>
      <c r="C146" s="24" t="s">
        <v>18</v>
      </c>
      <c r="D146" s="23"/>
      <c r="E146" s="23" t="s">
        <v>19</v>
      </c>
      <c r="F146" s="23" t="s">
        <v>349</v>
      </c>
      <c r="G146" s="23" t="s">
        <v>122</v>
      </c>
      <c r="H146" s="25">
        <v>13</v>
      </c>
      <c r="I146" s="1"/>
      <c r="J146" s="26"/>
      <c r="K146" s="27">
        <f t="shared" si="3"/>
        <v>0</v>
      </c>
      <c r="L146" s="27"/>
      <c r="M146" s="27"/>
      <c r="N146" s="1">
        <v>2</v>
      </c>
      <c r="O146" s="27">
        <f t="shared" si="4"/>
        <v>1019.74</v>
      </c>
      <c r="P146" s="27">
        <v>1019.74</v>
      </c>
      <c r="Q146" s="27"/>
      <c r="R146" s="20"/>
    </row>
    <row r="147" spans="1:38" ht="15" customHeight="1">
      <c r="A147" s="24">
        <v>73</v>
      </c>
      <c r="B147" s="23" t="s">
        <v>94</v>
      </c>
      <c r="C147" s="24" t="s">
        <v>18</v>
      </c>
      <c r="D147" s="23"/>
      <c r="E147" s="23" t="s">
        <v>95</v>
      </c>
      <c r="F147" s="23" t="s">
        <v>431</v>
      </c>
      <c r="G147" s="23" t="s">
        <v>142</v>
      </c>
      <c r="H147" s="25">
        <v>17</v>
      </c>
      <c r="I147" s="1">
        <v>4</v>
      </c>
      <c r="J147" s="26">
        <v>6</v>
      </c>
      <c r="K147" s="27">
        <f t="shared" si="3"/>
        <v>0</v>
      </c>
      <c r="L147" s="27"/>
      <c r="M147" s="27"/>
      <c r="N147" s="1">
        <v>6</v>
      </c>
      <c r="O147" s="27">
        <f t="shared" si="4"/>
        <v>5675.37</v>
      </c>
      <c r="P147" s="27">
        <v>5675.37</v>
      </c>
      <c r="Q147" s="27"/>
      <c r="R147" s="20"/>
    </row>
    <row r="148" spans="1:38" s="7" customFormat="1" ht="15" customHeight="1">
      <c r="A148" s="24"/>
      <c r="B148" s="23" t="s">
        <v>128</v>
      </c>
      <c r="C148" s="24" t="s">
        <v>18</v>
      </c>
      <c r="D148" s="23"/>
      <c r="E148" s="23" t="s">
        <v>95</v>
      </c>
      <c r="F148" s="23" t="s">
        <v>319</v>
      </c>
      <c r="G148" s="23" t="s">
        <v>124</v>
      </c>
      <c r="H148" s="25">
        <v>4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3942.68</v>
      </c>
      <c r="P148" s="27">
        <v>3942.68</v>
      </c>
      <c r="Q148" s="27"/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ht="15" customHeight="1">
      <c r="A149" s="24"/>
      <c r="B149" s="23" t="s">
        <v>128</v>
      </c>
      <c r="C149" s="24" t="s">
        <v>18</v>
      </c>
      <c r="D149" s="23"/>
      <c r="E149" s="23" t="s">
        <v>95</v>
      </c>
      <c r="F149" s="23" t="s">
        <v>123</v>
      </c>
      <c r="G149" s="23" t="s">
        <v>131</v>
      </c>
      <c r="H149" s="25">
        <v>0</v>
      </c>
      <c r="I149" s="2"/>
      <c r="J149" s="26"/>
      <c r="K149" s="27">
        <f t="shared" si="3"/>
        <v>0</v>
      </c>
      <c r="L149" s="27"/>
      <c r="M149" s="27"/>
      <c r="N149" s="2"/>
      <c r="O149" s="27">
        <f t="shared" si="4"/>
        <v>0</v>
      </c>
      <c r="P149" s="27"/>
      <c r="Q149" s="27"/>
      <c r="R149" s="20"/>
    </row>
    <row r="150" spans="1:38" ht="15" customHeight="1">
      <c r="A150" s="24">
        <v>74</v>
      </c>
      <c r="B150" s="23" t="s">
        <v>96</v>
      </c>
      <c r="C150" s="24" t="s">
        <v>18</v>
      </c>
      <c r="D150" s="23"/>
      <c r="E150" s="23" t="s">
        <v>19</v>
      </c>
      <c r="F150" s="23" t="s">
        <v>432</v>
      </c>
      <c r="G150" s="23" t="s">
        <v>142</v>
      </c>
      <c r="H150" s="25">
        <v>5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0</v>
      </c>
      <c r="P150" s="27"/>
      <c r="Q150" s="27"/>
      <c r="R150" s="20"/>
    </row>
    <row r="151" spans="1:38" ht="15" customHeight="1">
      <c r="A151" s="24"/>
      <c r="B151" s="23" t="s">
        <v>96</v>
      </c>
      <c r="C151" s="24" t="s">
        <v>18</v>
      </c>
      <c r="D151" s="23"/>
      <c r="E151" s="23" t="s">
        <v>19</v>
      </c>
      <c r="F151" s="23" t="s">
        <v>292</v>
      </c>
      <c r="G151" s="23" t="s">
        <v>131</v>
      </c>
      <c r="H151" s="25">
        <v>0</v>
      </c>
      <c r="I151" s="1"/>
      <c r="J151" s="26"/>
      <c r="K151" s="27">
        <f t="shared" si="3"/>
        <v>0</v>
      </c>
      <c r="L151" s="27"/>
      <c r="M151" s="27"/>
      <c r="N151" s="1">
        <v>1</v>
      </c>
      <c r="O151" s="27">
        <f t="shared" si="4"/>
        <v>0</v>
      </c>
      <c r="P151" s="27"/>
      <c r="Q151" s="27"/>
      <c r="R151" s="20"/>
    </row>
    <row r="152" spans="1:38" ht="15" customHeight="1">
      <c r="A152" s="24"/>
      <c r="B152" s="23" t="s">
        <v>96</v>
      </c>
      <c r="C152" s="24" t="s">
        <v>18</v>
      </c>
      <c r="D152" s="23"/>
      <c r="E152" s="23" t="s">
        <v>19</v>
      </c>
      <c r="F152" s="23" t="s">
        <v>447</v>
      </c>
      <c r="G152" s="23" t="s">
        <v>122</v>
      </c>
      <c r="H152" s="25">
        <v>5</v>
      </c>
      <c r="I152" s="1"/>
      <c r="J152" s="26"/>
      <c r="K152" s="27">
        <f t="shared" si="3"/>
        <v>0</v>
      </c>
      <c r="L152" s="27"/>
      <c r="M152" s="27"/>
      <c r="N152" s="1">
        <v>2</v>
      </c>
      <c r="O152" s="27">
        <f t="shared" si="4"/>
        <v>0</v>
      </c>
      <c r="P152" s="27"/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2" t="s">
        <v>19</v>
      </c>
      <c r="F153" s="23" t="s">
        <v>367</v>
      </c>
      <c r="G153" s="22" t="s">
        <v>136</v>
      </c>
      <c r="H153" s="45">
        <v>4</v>
      </c>
      <c r="I153" s="1"/>
      <c r="J153" s="26"/>
      <c r="K153" s="27">
        <f t="shared" ref="K153:K199" si="6">L153+M153</f>
        <v>0</v>
      </c>
      <c r="L153" s="27"/>
      <c r="M153" s="27"/>
      <c r="N153" s="1">
        <v>2</v>
      </c>
      <c r="O153" s="27">
        <f t="shared" si="4"/>
        <v>0</v>
      </c>
      <c r="P153" s="27"/>
      <c r="Q153" s="27"/>
      <c r="R153" s="20"/>
    </row>
    <row r="154" spans="1:38" ht="15" customHeight="1">
      <c r="A154" s="24">
        <v>75</v>
      </c>
      <c r="B154" s="23" t="s">
        <v>97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3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5" customHeight="1">
      <c r="A155" s="24">
        <v>76</v>
      </c>
      <c r="B155" s="23" t="s">
        <v>98</v>
      </c>
      <c r="C155" s="24" t="s">
        <v>18</v>
      </c>
      <c r="D155" s="23"/>
      <c r="E155" s="23" t="s">
        <v>19</v>
      </c>
      <c r="F155" s="23" t="s">
        <v>433</v>
      </c>
      <c r="G155" s="23" t="s">
        <v>142</v>
      </c>
      <c r="H155" s="25">
        <v>10</v>
      </c>
      <c r="I155" s="1">
        <v>9</v>
      </c>
      <c r="J155" s="26">
        <v>10</v>
      </c>
      <c r="K155" s="27">
        <f t="shared" si="6"/>
        <v>0</v>
      </c>
      <c r="L155" s="27"/>
      <c r="M155" s="27"/>
      <c r="N155" s="1">
        <v>6</v>
      </c>
      <c r="O155" s="27">
        <f t="shared" si="4"/>
        <v>2112.7600000000002</v>
      </c>
      <c r="P155" s="27">
        <f>887.45+1225.31</f>
        <v>2112.7600000000002</v>
      </c>
      <c r="Q155" s="27"/>
      <c r="R155" s="20"/>
    </row>
    <row r="156" spans="1:38" ht="15" customHeight="1">
      <c r="A156" s="24">
        <v>77</v>
      </c>
      <c r="B156" s="23" t="s">
        <v>99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0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20"/>
    </row>
    <row r="157" spans="1:38" ht="24.6" customHeight="1">
      <c r="A157" s="29">
        <v>78</v>
      </c>
      <c r="B157" s="30" t="s">
        <v>100</v>
      </c>
      <c r="C157" s="29" t="s">
        <v>30</v>
      </c>
      <c r="D157" s="30" t="s">
        <v>101</v>
      </c>
      <c r="E157" s="30" t="s">
        <v>19</v>
      </c>
      <c r="F157" s="23" t="s">
        <v>434</v>
      </c>
      <c r="G157" s="30" t="s">
        <v>142</v>
      </c>
      <c r="H157" s="25">
        <v>3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s="7" customFormat="1" ht="29.25" customHeight="1">
      <c r="A158" s="29"/>
      <c r="B158" s="30" t="s">
        <v>100</v>
      </c>
      <c r="C158" s="29" t="s">
        <v>30</v>
      </c>
      <c r="D158" s="30" t="s">
        <v>101</v>
      </c>
      <c r="E158" s="30" t="s">
        <v>19</v>
      </c>
      <c r="F158" s="30" t="s">
        <v>292</v>
      </c>
      <c r="G158" s="30" t="s">
        <v>122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 spans="1:38" ht="26.25" customHeight="1">
      <c r="A159" s="46">
        <v>79</v>
      </c>
      <c r="B159" s="60" t="s">
        <v>144</v>
      </c>
      <c r="C159" s="46" t="s">
        <v>18</v>
      </c>
      <c r="D159" s="60"/>
      <c r="E159" s="60" t="s">
        <v>104</v>
      </c>
      <c r="F159" s="60" t="s">
        <v>120</v>
      </c>
      <c r="G159" s="60" t="s">
        <v>142</v>
      </c>
      <c r="H159" s="61">
        <v>0</v>
      </c>
      <c r="I159" s="1"/>
      <c r="J159" s="26"/>
      <c r="K159" s="27">
        <f t="shared" si="6"/>
        <v>0</v>
      </c>
      <c r="L159" s="63"/>
      <c r="M159" s="63"/>
      <c r="N159" s="1"/>
      <c r="O159" s="63">
        <f t="shared" si="4"/>
        <v>0</v>
      </c>
      <c r="P159" s="63"/>
      <c r="Q159" s="63"/>
      <c r="R159" s="20"/>
    </row>
    <row r="160" spans="1:38" ht="15.75" customHeight="1">
      <c r="A160" s="24">
        <v>80</v>
      </c>
      <c r="B160" s="23" t="s">
        <v>102</v>
      </c>
      <c r="C160" s="24" t="s">
        <v>18</v>
      </c>
      <c r="D160" s="23"/>
      <c r="E160" s="23" t="s">
        <v>19</v>
      </c>
      <c r="F160" s="60" t="s">
        <v>120</v>
      </c>
      <c r="G160" s="23" t="s">
        <v>142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5" customHeight="1">
      <c r="A161" s="24">
        <v>81</v>
      </c>
      <c r="B161" s="23" t="s">
        <v>103</v>
      </c>
      <c r="C161" s="24" t="s">
        <v>18</v>
      </c>
      <c r="D161" s="23"/>
      <c r="E161" s="23" t="s">
        <v>19</v>
      </c>
      <c r="F161" s="60" t="s">
        <v>120</v>
      </c>
      <c r="G161" s="23" t="s">
        <v>142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>
        <v>1</v>
      </c>
      <c r="O161" s="27">
        <f t="shared" si="4"/>
        <v>9916.84</v>
      </c>
      <c r="P161" s="27">
        <f>1061.97+8854.87</f>
        <v>9916.84</v>
      </c>
      <c r="Q161" s="27"/>
      <c r="R161" s="20"/>
    </row>
    <row r="162" spans="1:38" ht="15" customHeight="1">
      <c r="A162" s="24"/>
      <c r="B162" s="23" t="s">
        <v>103</v>
      </c>
      <c r="C162" s="24" t="s">
        <v>18</v>
      </c>
      <c r="D162" s="23"/>
      <c r="E162" s="23" t="s">
        <v>19</v>
      </c>
      <c r="F162" s="23" t="s">
        <v>456</v>
      </c>
      <c r="G162" s="23" t="s">
        <v>122</v>
      </c>
      <c r="H162" s="25">
        <v>7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2731.1</v>
      </c>
      <c r="P162" s="27">
        <v>2731.1</v>
      </c>
      <c r="Q162" s="27"/>
      <c r="R162" s="20"/>
    </row>
    <row r="163" spans="1:38" ht="15" customHeight="1">
      <c r="A163" s="24">
        <v>82</v>
      </c>
      <c r="B163" s="23" t="s">
        <v>302</v>
      </c>
      <c r="C163" s="24" t="s">
        <v>18</v>
      </c>
      <c r="D163" s="23"/>
      <c r="E163" s="23" t="s">
        <v>19</v>
      </c>
      <c r="F163" s="23" t="s">
        <v>348</v>
      </c>
      <c r="G163" s="23" t="s">
        <v>122</v>
      </c>
      <c r="H163" s="25">
        <v>9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ht="15" customHeight="1">
      <c r="A164" s="24">
        <v>83</v>
      </c>
      <c r="B164" s="23" t="s">
        <v>328</v>
      </c>
      <c r="C164" s="24" t="s">
        <v>18</v>
      </c>
      <c r="D164" s="23"/>
      <c r="E164" s="23" t="s">
        <v>19</v>
      </c>
      <c r="F164" s="23" t="s">
        <v>347</v>
      </c>
      <c r="G164" s="23" t="s">
        <v>122</v>
      </c>
      <c r="H164" s="25">
        <v>5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20"/>
    </row>
    <row r="165" spans="1:38" ht="15" customHeight="1">
      <c r="A165" s="24">
        <v>84</v>
      </c>
      <c r="B165" s="23" t="s">
        <v>314</v>
      </c>
      <c r="C165" s="24" t="s">
        <v>18</v>
      </c>
      <c r="D165" s="23"/>
      <c r="E165" s="23" t="s">
        <v>19</v>
      </c>
      <c r="F165" s="23" t="s">
        <v>435</v>
      </c>
      <c r="G165" s="23" t="s">
        <v>142</v>
      </c>
      <c r="H165" s="25">
        <v>1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20"/>
    </row>
    <row r="166" spans="1:38" ht="15" customHeight="1">
      <c r="A166" s="24"/>
      <c r="B166" s="23" t="s">
        <v>314</v>
      </c>
      <c r="C166" s="24" t="s">
        <v>18</v>
      </c>
      <c r="D166" s="23"/>
      <c r="E166" s="23" t="s">
        <v>19</v>
      </c>
      <c r="F166" s="23" t="s">
        <v>268</v>
      </c>
      <c r="G166" s="23" t="s">
        <v>136</v>
      </c>
      <c r="H166" s="25">
        <v>3</v>
      </c>
      <c r="I166" s="1"/>
      <c r="J166" s="26"/>
      <c r="K166" s="27"/>
      <c r="L166" s="27"/>
      <c r="M166" s="27"/>
      <c r="N166" s="1"/>
      <c r="O166" s="27"/>
      <c r="P166" s="27"/>
      <c r="Q166" s="27"/>
      <c r="R166" s="20"/>
    </row>
    <row r="167" spans="1:38" ht="15" customHeight="1">
      <c r="A167" s="24">
        <v>85</v>
      </c>
      <c r="B167" s="23" t="s">
        <v>330</v>
      </c>
      <c r="C167" s="24" t="s">
        <v>18</v>
      </c>
      <c r="D167" s="23"/>
      <c r="E167" s="23" t="s">
        <v>104</v>
      </c>
      <c r="F167" s="23" t="s">
        <v>341</v>
      </c>
      <c r="G167" s="23" t="s">
        <v>131</v>
      </c>
      <c r="H167" s="25">
        <v>6</v>
      </c>
      <c r="I167" s="1"/>
      <c r="J167" s="26"/>
      <c r="K167" s="27"/>
      <c r="L167" s="27"/>
      <c r="M167" s="27"/>
      <c r="N167" s="1"/>
      <c r="O167" s="27"/>
      <c r="P167" s="27"/>
      <c r="Q167" s="27"/>
      <c r="R167" s="20"/>
    </row>
    <row r="168" spans="1:38" s="28" customFormat="1" ht="15" customHeight="1">
      <c r="A168" s="24"/>
      <c r="B168" s="23" t="s">
        <v>330</v>
      </c>
      <c r="C168" s="24" t="s">
        <v>18</v>
      </c>
      <c r="D168" s="23"/>
      <c r="E168" s="23" t="s">
        <v>19</v>
      </c>
      <c r="F168" s="23" t="s">
        <v>346</v>
      </c>
      <c r="G168" s="23" t="s">
        <v>122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38" ht="24.75" customHeight="1">
      <c r="A169" s="29">
        <v>86</v>
      </c>
      <c r="B169" s="30" t="s">
        <v>105</v>
      </c>
      <c r="C169" s="29" t="s">
        <v>30</v>
      </c>
      <c r="D169" s="30" t="s">
        <v>106</v>
      </c>
      <c r="E169" s="30" t="s">
        <v>19</v>
      </c>
      <c r="F169" s="30" t="s">
        <v>436</v>
      </c>
      <c r="G169" s="30" t="s">
        <v>142</v>
      </c>
      <c r="H169" s="25">
        <v>9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15276.04</v>
      </c>
      <c r="P169" s="27">
        <f>4712.69+2993.76+7569.59</f>
        <v>15276.04</v>
      </c>
      <c r="Q169" s="27"/>
      <c r="R169" s="20"/>
    </row>
    <row r="170" spans="1:38" ht="24.75" customHeight="1">
      <c r="A170" s="29">
        <v>87</v>
      </c>
      <c r="B170" s="30" t="s">
        <v>315</v>
      </c>
      <c r="C170" s="29" t="s">
        <v>18</v>
      </c>
      <c r="D170" s="30"/>
      <c r="E170" s="30" t="s">
        <v>19</v>
      </c>
      <c r="F170" s="30" t="s">
        <v>437</v>
      </c>
      <c r="G170" s="30" t="s">
        <v>142</v>
      </c>
      <c r="H170" s="25">
        <v>3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s="28" customFormat="1" ht="24.75" customHeight="1">
      <c r="A171" s="29"/>
      <c r="B171" s="30" t="s">
        <v>315</v>
      </c>
      <c r="C171" s="29" t="s">
        <v>18</v>
      </c>
      <c r="D171" s="30"/>
      <c r="E171" s="30" t="s">
        <v>322</v>
      </c>
      <c r="F171" s="30" t="s">
        <v>323</v>
      </c>
      <c r="G171" s="30" t="s">
        <v>124</v>
      </c>
      <c r="H171" s="25">
        <v>1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38" s="7" customFormat="1" ht="38.450000000000003" customHeight="1">
      <c r="A172" s="29">
        <v>88</v>
      </c>
      <c r="B172" s="30" t="s">
        <v>265</v>
      </c>
      <c r="C172" s="29" t="s">
        <v>18</v>
      </c>
      <c r="D172" s="30"/>
      <c r="E172" s="30" t="s">
        <v>19</v>
      </c>
      <c r="F172" s="30" t="s">
        <v>123</v>
      </c>
      <c r="G172" s="30" t="s">
        <v>142</v>
      </c>
      <c r="H172" s="25">
        <v>0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20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s="7" customFormat="1" ht="38.450000000000003" customHeight="1">
      <c r="A173" s="24">
        <v>89</v>
      </c>
      <c r="B173" s="23" t="s">
        <v>107</v>
      </c>
      <c r="C173" s="24" t="s">
        <v>18</v>
      </c>
      <c r="D173" s="23"/>
      <c r="E173" s="23" t="s">
        <v>41</v>
      </c>
      <c r="F173" s="30" t="s">
        <v>438</v>
      </c>
      <c r="G173" s="23" t="s">
        <v>142</v>
      </c>
      <c r="H173" s="25">
        <v>2</v>
      </c>
      <c r="I173" s="1"/>
      <c r="J173" s="26"/>
      <c r="K173" s="27">
        <f t="shared" si="6"/>
        <v>0</v>
      </c>
      <c r="L173" s="27"/>
      <c r="M173" s="27"/>
      <c r="N173" s="1">
        <v>1</v>
      </c>
      <c r="O173" s="27">
        <f t="shared" si="4"/>
        <v>1221.57</v>
      </c>
      <c r="P173" s="27">
        <v>1221.57</v>
      </c>
      <c r="Q173" s="27"/>
      <c r="R173" s="20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 spans="1:38" ht="15.75" customHeight="1">
      <c r="A174" s="24"/>
      <c r="B174" s="23" t="s">
        <v>107</v>
      </c>
      <c r="C174" s="24" t="s">
        <v>18</v>
      </c>
      <c r="D174" s="23"/>
      <c r="E174" s="23" t="s">
        <v>41</v>
      </c>
      <c r="F174" s="23" t="s">
        <v>295</v>
      </c>
      <c r="G174" s="23" t="s">
        <v>136</v>
      </c>
      <c r="H174" s="25">
        <v>10</v>
      </c>
      <c r="I174" s="2">
        <v>4</v>
      </c>
      <c r="J174" s="26">
        <v>4</v>
      </c>
      <c r="K174" s="27">
        <f t="shared" si="6"/>
        <v>0</v>
      </c>
      <c r="L174" s="27"/>
      <c r="M174" s="27"/>
      <c r="N174" s="2">
        <v>15</v>
      </c>
      <c r="O174" s="27">
        <f t="shared" si="4"/>
        <v>0</v>
      </c>
      <c r="P174" s="27"/>
      <c r="Q174" s="27"/>
      <c r="R174" s="20"/>
    </row>
    <row r="175" spans="1:38" ht="16.5" customHeight="1">
      <c r="A175" s="24">
        <v>90</v>
      </c>
      <c r="B175" s="23" t="s">
        <v>108</v>
      </c>
      <c r="C175" s="24" t="s">
        <v>18</v>
      </c>
      <c r="D175" s="23"/>
      <c r="E175" s="23" t="s">
        <v>19</v>
      </c>
      <c r="F175" s="23" t="s">
        <v>439</v>
      </c>
      <c r="G175" s="23" t="s">
        <v>142</v>
      </c>
      <c r="H175" s="25">
        <v>20</v>
      </c>
      <c r="I175" s="1">
        <v>15</v>
      </c>
      <c r="J175" s="26">
        <v>15</v>
      </c>
      <c r="K175" s="27">
        <f t="shared" si="6"/>
        <v>0</v>
      </c>
      <c r="L175" s="27"/>
      <c r="M175" s="27"/>
      <c r="N175" s="1">
        <v>6</v>
      </c>
      <c r="O175" s="27">
        <f t="shared" si="4"/>
        <v>5327.91</v>
      </c>
      <c r="P175" s="27">
        <v>5327.91</v>
      </c>
      <c r="Q175" s="27"/>
      <c r="R175" s="20"/>
    </row>
    <row r="176" spans="1:38" s="7" customFormat="1" ht="16.5" customHeight="1">
      <c r="A176" s="24"/>
      <c r="B176" s="23" t="s">
        <v>108</v>
      </c>
      <c r="C176" s="24" t="s">
        <v>18</v>
      </c>
      <c r="D176" s="23"/>
      <c r="E176" s="23" t="s">
        <v>19</v>
      </c>
      <c r="F176" s="23" t="s">
        <v>345</v>
      </c>
      <c r="G176" s="23" t="s">
        <v>122</v>
      </c>
      <c r="H176" s="25">
        <v>4</v>
      </c>
      <c r="I176" s="1"/>
      <c r="J176" s="26"/>
      <c r="K176" s="27">
        <f t="shared" si="6"/>
        <v>0</v>
      </c>
      <c r="L176" s="27"/>
      <c r="M176" s="27"/>
      <c r="N176" s="1">
        <v>4</v>
      </c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16.5" customHeight="1">
      <c r="A177" s="24">
        <v>91</v>
      </c>
      <c r="B177" s="23" t="s">
        <v>146</v>
      </c>
      <c r="C177" s="24" t="s">
        <v>18</v>
      </c>
      <c r="D177" s="23"/>
      <c r="E177" s="23" t="s">
        <v>104</v>
      </c>
      <c r="F177" s="23" t="s">
        <v>291</v>
      </c>
      <c r="G177" s="23" t="s">
        <v>142</v>
      </c>
      <c r="H177" s="25">
        <v>0</v>
      </c>
      <c r="I177" s="1"/>
      <c r="J177" s="26"/>
      <c r="K177" s="27">
        <f t="shared" si="6"/>
        <v>0</v>
      </c>
      <c r="L177" s="27"/>
      <c r="M177" s="27"/>
      <c r="N177" s="1">
        <v>2</v>
      </c>
      <c r="O177" s="27">
        <f t="shared" si="4"/>
        <v>2891.29</v>
      </c>
      <c r="P177" s="27">
        <v>2891.29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23.45" customHeight="1">
      <c r="A178" s="29">
        <v>92</v>
      </c>
      <c r="B178" s="30" t="s">
        <v>109</v>
      </c>
      <c r="C178" s="29" t="s">
        <v>52</v>
      </c>
      <c r="D178" s="30" t="s">
        <v>110</v>
      </c>
      <c r="E178" s="30" t="s">
        <v>19</v>
      </c>
      <c r="F178" s="30" t="s">
        <v>440</v>
      </c>
      <c r="G178" s="30" t="s">
        <v>142</v>
      </c>
      <c r="H178" s="25">
        <v>24</v>
      </c>
      <c r="I178" s="1">
        <v>17</v>
      </c>
      <c r="J178" s="26">
        <v>17</v>
      </c>
      <c r="K178" s="27">
        <f t="shared" si="6"/>
        <v>0</v>
      </c>
      <c r="L178" s="27"/>
      <c r="M178" s="27"/>
      <c r="N178" s="1">
        <v>15</v>
      </c>
      <c r="O178" s="27">
        <f t="shared" si="4"/>
        <v>14008.98</v>
      </c>
      <c r="P178" s="27">
        <f>8759.8+505.2+4743.98</f>
        <v>14008.98</v>
      </c>
      <c r="Q178" s="27"/>
      <c r="R178" s="20"/>
    </row>
    <row r="179" spans="1:38" s="7" customFormat="1" ht="27" customHeight="1">
      <c r="A179" s="29"/>
      <c r="B179" s="30" t="s">
        <v>109</v>
      </c>
      <c r="C179" s="29" t="s">
        <v>52</v>
      </c>
      <c r="D179" s="30" t="s">
        <v>110</v>
      </c>
      <c r="E179" s="30" t="s">
        <v>19</v>
      </c>
      <c r="F179" s="30" t="s">
        <v>344</v>
      </c>
      <c r="G179" s="30" t="s">
        <v>122</v>
      </c>
      <c r="H179" s="25">
        <v>13</v>
      </c>
      <c r="I179" s="1"/>
      <c r="J179" s="26"/>
      <c r="K179" s="27">
        <f t="shared" si="6"/>
        <v>0</v>
      </c>
      <c r="L179" s="27"/>
      <c r="M179" s="27"/>
      <c r="N179" s="1">
        <v>12</v>
      </c>
      <c r="O179" s="27">
        <f t="shared" si="4"/>
        <v>3199.6</v>
      </c>
      <c r="P179" s="27">
        <v>1762</v>
      </c>
      <c r="Q179" s="27">
        <v>1437.6</v>
      </c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27.75" customHeight="1">
      <c r="A180" s="24">
        <v>93</v>
      </c>
      <c r="B180" s="23" t="s">
        <v>111</v>
      </c>
      <c r="C180" s="24" t="s">
        <v>18</v>
      </c>
      <c r="D180" s="23"/>
      <c r="E180" s="23" t="s">
        <v>112</v>
      </c>
      <c r="F180" s="23" t="s">
        <v>441</v>
      </c>
      <c r="G180" s="23" t="s">
        <v>142</v>
      </c>
      <c r="H180" s="25">
        <v>6</v>
      </c>
      <c r="I180" s="1"/>
      <c r="J180" s="26"/>
      <c r="K180" s="27">
        <f t="shared" si="6"/>
        <v>0</v>
      </c>
      <c r="L180" s="27"/>
      <c r="M180" s="27"/>
      <c r="N180" s="1"/>
      <c r="O180" s="27">
        <f t="shared" si="4"/>
        <v>8928</v>
      </c>
      <c r="P180" s="27">
        <v>8928</v>
      </c>
      <c r="Q180" s="27"/>
      <c r="R180" s="20"/>
    </row>
    <row r="181" spans="1:38" ht="16.5" customHeight="1">
      <c r="A181" s="24"/>
      <c r="B181" s="23" t="s">
        <v>111</v>
      </c>
      <c r="C181" s="24" t="s">
        <v>18</v>
      </c>
      <c r="D181" s="23"/>
      <c r="E181" s="23" t="s">
        <v>112</v>
      </c>
      <c r="F181" s="23" t="s">
        <v>123</v>
      </c>
      <c r="G181" s="23" t="s">
        <v>136</v>
      </c>
      <c r="H181" s="25">
        <v>7</v>
      </c>
      <c r="I181" s="2"/>
      <c r="J181" s="26"/>
      <c r="K181" s="27">
        <f t="shared" si="6"/>
        <v>0</v>
      </c>
      <c r="L181" s="27"/>
      <c r="M181" s="27"/>
      <c r="N181" s="2">
        <v>2</v>
      </c>
      <c r="O181" s="27">
        <f t="shared" si="4"/>
        <v>0</v>
      </c>
      <c r="P181" s="27"/>
      <c r="Q181" s="27"/>
      <c r="R181" s="20"/>
    </row>
    <row r="182" spans="1:38" ht="16.5" customHeight="1">
      <c r="A182" s="24">
        <v>94</v>
      </c>
      <c r="B182" s="23" t="s">
        <v>113</v>
      </c>
      <c r="C182" s="24" t="s">
        <v>18</v>
      </c>
      <c r="D182" s="23"/>
      <c r="E182" s="23" t="s">
        <v>19</v>
      </c>
      <c r="F182" s="23" t="s">
        <v>120</v>
      </c>
      <c r="G182" s="23" t="s">
        <v>142</v>
      </c>
      <c r="H182" s="25">
        <v>0</v>
      </c>
      <c r="I182" s="1"/>
      <c r="J182" s="26"/>
      <c r="K182" s="27">
        <f t="shared" si="6"/>
        <v>0</v>
      </c>
      <c r="L182" s="27"/>
      <c r="M182" s="27"/>
      <c r="N182" s="1">
        <v>1</v>
      </c>
      <c r="O182" s="27">
        <f t="shared" si="4"/>
        <v>0</v>
      </c>
      <c r="P182" s="27"/>
      <c r="Q182" s="27"/>
      <c r="R182" s="20"/>
    </row>
    <row r="183" spans="1:38" ht="18.75" customHeight="1">
      <c r="A183" s="24"/>
      <c r="B183" s="23" t="s">
        <v>113</v>
      </c>
      <c r="C183" s="24" t="s">
        <v>18</v>
      </c>
      <c r="D183" s="23"/>
      <c r="E183" s="23" t="s">
        <v>19</v>
      </c>
      <c r="F183" s="23" t="s">
        <v>292</v>
      </c>
      <c r="G183" s="23" t="s">
        <v>122</v>
      </c>
      <c r="H183" s="25">
        <v>11</v>
      </c>
      <c r="I183" s="1">
        <v>1</v>
      </c>
      <c r="J183" s="26">
        <v>1</v>
      </c>
      <c r="K183" s="27">
        <f t="shared" si="6"/>
        <v>0</v>
      </c>
      <c r="L183" s="27"/>
      <c r="M183" s="27"/>
      <c r="N183" s="1">
        <v>11</v>
      </c>
      <c r="O183" s="27">
        <f t="shared" si="4"/>
        <v>1321.5</v>
      </c>
      <c r="P183" s="27"/>
      <c r="Q183" s="27">
        <v>1321.5</v>
      </c>
      <c r="R183" s="20"/>
    </row>
    <row r="184" spans="1:38" ht="20.25" customHeight="1">
      <c r="A184" s="24">
        <v>95</v>
      </c>
      <c r="B184" s="23" t="s">
        <v>114</v>
      </c>
      <c r="C184" s="24" t="s">
        <v>18</v>
      </c>
      <c r="D184" s="23"/>
      <c r="E184" s="23" t="s">
        <v>41</v>
      </c>
      <c r="F184" s="23" t="s">
        <v>443</v>
      </c>
      <c r="G184" s="23" t="s">
        <v>142</v>
      </c>
      <c r="H184" s="25">
        <v>5</v>
      </c>
      <c r="I184" s="1">
        <v>1</v>
      </c>
      <c r="J184" s="26">
        <v>2</v>
      </c>
      <c r="K184" s="27">
        <f t="shared" si="6"/>
        <v>0</v>
      </c>
      <c r="L184" s="27"/>
      <c r="M184" s="27"/>
      <c r="N184" s="1">
        <v>1</v>
      </c>
      <c r="O184" s="27">
        <f t="shared" si="4"/>
        <v>7826.67</v>
      </c>
      <c r="P184" s="27">
        <v>7826.67</v>
      </c>
      <c r="Q184" s="27"/>
      <c r="R184" s="20"/>
    </row>
    <row r="185" spans="1:38" ht="16.899999999999999" customHeight="1">
      <c r="A185" s="24"/>
      <c r="B185" s="23" t="s">
        <v>141</v>
      </c>
      <c r="C185" s="24" t="s">
        <v>18</v>
      </c>
      <c r="D185" s="23"/>
      <c r="E185" s="23" t="s">
        <v>41</v>
      </c>
      <c r="F185" s="23" t="s">
        <v>368</v>
      </c>
      <c r="G185" s="23" t="s">
        <v>136</v>
      </c>
      <c r="H185" s="25">
        <v>6</v>
      </c>
      <c r="I185" s="2"/>
      <c r="J185" s="26"/>
      <c r="K185" s="27">
        <f t="shared" si="6"/>
        <v>0</v>
      </c>
      <c r="L185" s="27"/>
      <c r="M185" s="27"/>
      <c r="N185" s="2">
        <v>4</v>
      </c>
      <c r="O185" s="27">
        <f t="shared" si="4"/>
        <v>0</v>
      </c>
      <c r="P185" s="27"/>
      <c r="Q185" s="27"/>
      <c r="R185" s="20"/>
    </row>
    <row r="186" spans="1:38" ht="16.899999999999999" customHeight="1">
      <c r="A186" s="24">
        <v>96</v>
      </c>
      <c r="B186" s="23" t="s">
        <v>309</v>
      </c>
      <c r="C186" s="24" t="s">
        <v>18</v>
      </c>
      <c r="D186" s="23"/>
      <c r="E186" s="23" t="s">
        <v>19</v>
      </c>
      <c r="F186" s="23" t="s">
        <v>442</v>
      </c>
      <c r="G186" s="23" t="s">
        <v>142</v>
      </c>
      <c r="H186" s="25">
        <v>7</v>
      </c>
      <c r="I186" s="2">
        <v>5</v>
      </c>
      <c r="J186" s="26">
        <v>5</v>
      </c>
      <c r="K186" s="27"/>
      <c r="L186" s="27"/>
      <c r="M186" s="27"/>
      <c r="N186" s="2"/>
      <c r="O186" s="27"/>
      <c r="P186" s="27"/>
      <c r="Q186" s="27"/>
      <c r="R186" s="20"/>
    </row>
    <row r="187" spans="1:38" ht="16.899999999999999" customHeight="1">
      <c r="A187" s="24"/>
      <c r="B187" s="23" t="s">
        <v>309</v>
      </c>
      <c r="C187" s="24" t="s">
        <v>18</v>
      </c>
      <c r="D187" s="23"/>
      <c r="E187" s="23" t="s">
        <v>19</v>
      </c>
      <c r="F187" s="23" t="s">
        <v>343</v>
      </c>
      <c r="G187" s="23" t="s">
        <v>122</v>
      </c>
      <c r="H187" s="25">
        <v>6</v>
      </c>
      <c r="I187" s="2">
        <v>1</v>
      </c>
      <c r="J187" s="26">
        <v>1</v>
      </c>
      <c r="K187" s="27">
        <f t="shared" si="6"/>
        <v>0</v>
      </c>
      <c r="L187" s="27"/>
      <c r="M187" s="27"/>
      <c r="N187" s="2"/>
      <c r="O187" s="27">
        <f t="shared" si="4"/>
        <v>0</v>
      </c>
      <c r="P187" s="27"/>
      <c r="Q187" s="27"/>
      <c r="R187" s="20"/>
    </row>
    <row r="188" spans="1:38" ht="16.899999999999999" customHeight="1">
      <c r="A188" s="24"/>
      <c r="B188" s="23" t="s">
        <v>309</v>
      </c>
      <c r="C188" s="24" t="s">
        <v>18</v>
      </c>
      <c r="D188" s="23"/>
      <c r="E188" s="23" t="s">
        <v>19</v>
      </c>
      <c r="F188" s="23" t="s">
        <v>324</v>
      </c>
      <c r="G188" s="23" t="s">
        <v>124</v>
      </c>
      <c r="H188" s="25">
        <v>0</v>
      </c>
      <c r="I188" s="2"/>
      <c r="J188" s="26"/>
      <c r="K188" s="27">
        <f t="shared" si="6"/>
        <v>0</v>
      </c>
      <c r="L188" s="27"/>
      <c r="M188" s="27"/>
      <c r="N188" s="2"/>
      <c r="O188" s="27">
        <f t="shared" si="4"/>
        <v>0</v>
      </c>
      <c r="P188" s="27"/>
      <c r="Q188" s="27"/>
      <c r="R188" s="20"/>
    </row>
    <row r="189" spans="1:38" ht="24.6" customHeight="1">
      <c r="A189" s="29">
        <v>97</v>
      </c>
      <c r="B189" s="30" t="s">
        <v>115</v>
      </c>
      <c r="C189" s="29" t="s">
        <v>52</v>
      </c>
      <c r="D189" s="30" t="s">
        <v>110</v>
      </c>
      <c r="E189" s="30" t="s">
        <v>19</v>
      </c>
      <c r="F189" s="30"/>
      <c r="G189" s="30" t="s">
        <v>142</v>
      </c>
      <c r="H189" s="25">
        <v>0</v>
      </c>
      <c r="I189" s="1"/>
      <c r="J189" s="26"/>
      <c r="K189" s="27">
        <f t="shared" si="6"/>
        <v>0</v>
      </c>
      <c r="L189" s="27"/>
      <c r="M189" s="27"/>
      <c r="N189" s="1">
        <v>1</v>
      </c>
      <c r="O189" s="27">
        <f t="shared" ref="O189:O193" si="7">P189+Q189</f>
        <v>0</v>
      </c>
      <c r="P189" s="27"/>
      <c r="Q189" s="27"/>
      <c r="R189" s="20"/>
    </row>
    <row r="190" spans="1:38" ht="32.25" customHeight="1">
      <c r="A190" s="29"/>
      <c r="B190" s="30" t="s">
        <v>115</v>
      </c>
      <c r="C190" s="29" t="s">
        <v>52</v>
      </c>
      <c r="D190" s="30" t="s">
        <v>110</v>
      </c>
      <c r="E190" s="30" t="s">
        <v>19</v>
      </c>
      <c r="F190" s="30" t="s">
        <v>292</v>
      </c>
      <c r="G190" s="30" t="s">
        <v>122</v>
      </c>
      <c r="H190" s="25">
        <v>0</v>
      </c>
      <c r="I190" s="1"/>
      <c r="J190" s="44"/>
      <c r="K190" s="27">
        <f t="shared" si="6"/>
        <v>0</v>
      </c>
      <c r="L190" s="27"/>
      <c r="M190" s="27"/>
      <c r="N190" s="1">
        <v>1</v>
      </c>
      <c r="O190" s="27">
        <f t="shared" si="7"/>
        <v>0</v>
      </c>
      <c r="P190" s="27"/>
      <c r="Q190" s="27"/>
      <c r="R190" s="20"/>
    </row>
    <row r="191" spans="1:38" ht="34.9" customHeight="1">
      <c r="A191" s="29">
        <v>98</v>
      </c>
      <c r="B191" s="30" t="s">
        <v>116</v>
      </c>
      <c r="C191" s="29" t="s">
        <v>52</v>
      </c>
      <c r="D191" s="30" t="s">
        <v>117</v>
      </c>
      <c r="E191" s="30" t="s">
        <v>19</v>
      </c>
      <c r="F191" s="30" t="s">
        <v>444</v>
      </c>
      <c r="G191" s="30" t="s">
        <v>142</v>
      </c>
      <c r="H191" s="25">
        <v>21</v>
      </c>
      <c r="I191" s="1">
        <v>7</v>
      </c>
      <c r="J191" s="44">
        <v>7</v>
      </c>
      <c r="K191" s="27">
        <f t="shared" si="6"/>
        <v>16538.14</v>
      </c>
      <c r="L191" s="27">
        <v>16538.14</v>
      </c>
      <c r="M191" s="27"/>
      <c r="N191" s="1">
        <v>3</v>
      </c>
      <c r="O191" s="27">
        <f t="shared" si="7"/>
        <v>14077.71</v>
      </c>
      <c r="P191" s="27">
        <v>14077.71</v>
      </c>
      <c r="Q191" s="27"/>
      <c r="R191" s="20"/>
    </row>
    <row r="192" spans="1:38" ht="28.5" customHeight="1">
      <c r="A192" s="29">
        <v>99</v>
      </c>
      <c r="B192" s="30" t="s">
        <v>209</v>
      </c>
      <c r="C192" s="29" t="s">
        <v>18</v>
      </c>
      <c r="D192" s="30"/>
      <c r="E192" s="30" t="s">
        <v>19</v>
      </c>
      <c r="F192" s="30" t="s">
        <v>123</v>
      </c>
      <c r="G192" s="30" t="s">
        <v>142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/>
      <c r="O192" s="27">
        <f t="shared" si="7"/>
        <v>0</v>
      </c>
      <c r="P192" s="27"/>
      <c r="Q192" s="27"/>
      <c r="R192" s="20"/>
    </row>
    <row r="193" spans="1:44" ht="19.5" customHeight="1">
      <c r="A193" s="29">
        <v>100</v>
      </c>
      <c r="B193" s="30" t="s">
        <v>118</v>
      </c>
      <c r="C193" s="29" t="s">
        <v>18</v>
      </c>
      <c r="D193" s="30"/>
      <c r="E193" s="30" t="s">
        <v>41</v>
      </c>
      <c r="F193" s="30" t="s">
        <v>445</v>
      </c>
      <c r="G193" s="30" t="s">
        <v>142</v>
      </c>
      <c r="H193" s="25">
        <v>12</v>
      </c>
      <c r="I193" s="1">
        <v>6</v>
      </c>
      <c r="J193" s="44">
        <v>6</v>
      </c>
      <c r="K193" s="27">
        <f t="shared" si="6"/>
        <v>0</v>
      </c>
      <c r="L193" s="27"/>
      <c r="M193" s="27"/>
      <c r="N193" s="1">
        <v>21</v>
      </c>
      <c r="O193" s="27">
        <f t="shared" si="7"/>
        <v>0</v>
      </c>
      <c r="P193" s="27"/>
      <c r="Q193" s="27"/>
      <c r="R193" s="20"/>
    </row>
    <row r="194" spans="1:44" s="7" customFormat="1" ht="30.6" customHeight="1">
      <c r="A194" s="24"/>
      <c r="B194" s="23" t="s">
        <v>118</v>
      </c>
      <c r="C194" s="24" t="s">
        <v>18</v>
      </c>
      <c r="D194" s="23"/>
      <c r="E194" s="23" t="s">
        <v>41</v>
      </c>
      <c r="F194" s="23" t="s">
        <v>298</v>
      </c>
      <c r="G194" s="23" t="s">
        <v>124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>P194+Q194</f>
        <v>0</v>
      </c>
      <c r="P194" s="27"/>
      <c r="Q194" s="27"/>
      <c r="R194" s="20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 spans="1:44" s="14" customFormat="1" ht="27" customHeight="1">
      <c r="A195" s="24"/>
      <c r="B195" s="23" t="s">
        <v>118</v>
      </c>
      <c r="C195" s="24" t="s">
        <v>18</v>
      </c>
      <c r="D195" s="23"/>
      <c r="E195" s="23" t="s">
        <v>41</v>
      </c>
      <c r="F195" s="23" t="s">
        <v>123</v>
      </c>
      <c r="G195" s="23" t="s">
        <v>136</v>
      </c>
      <c r="H195" s="25">
        <v>0</v>
      </c>
      <c r="I195" s="2"/>
      <c r="J195" s="26"/>
      <c r="K195" s="27">
        <f t="shared" si="6"/>
        <v>0</v>
      </c>
      <c r="L195" s="27"/>
      <c r="M195" s="27"/>
      <c r="N195" s="2"/>
      <c r="O195" s="27">
        <f>P195+Q195</f>
        <v>0</v>
      </c>
      <c r="P195" s="27"/>
      <c r="Q195" s="27"/>
      <c r="R195" s="20"/>
      <c r="AM195" s="4"/>
      <c r="AN195" s="4"/>
      <c r="AO195" s="4"/>
      <c r="AP195" s="4"/>
      <c r="AQ195" s="4"/>
      <c r="AR195" s="4"/>
    </row>
    <row r="196" spans="1:44" s="14" customFormat="1" ht="27" customHeight="1">
      <c r="A196" s="46">
        <v>101</v>
      </c>
      <c r="B196" s="60" t="s">
        <v>119</v>
      </c>
      <c r="C196" s="46" t="s">
        <v>18</v>
      </c>
      <c r="D196" s="60"/>
      <c r="E196" s="60" t="s">
        <v>19</v>
      </c>
      <c r="F196" s="60" t="s">
        <v>120</v>
      </c>
      <c r="G196" s="60" t="s">
        <v>122</v>
      </c>
      <c r="H196" s="61">
        <v>0</v>
      </c>
      <c r="I196" s="32"/>
      <c r="J196" s="62"/>
      <c r="K196" s="27">
        <f t="shared" si="6"/>
        <v>0</v>
      </c>
      <c r="L196" s="63"/>
      <c r="M196" s="63"/>
      <c r="N196" s="32"/>
      <c r="O196" s="63">
        <v>0</v>
      </c>
      <c r="P196" s="63"/>
      <c r="Q196" s="63"/>
      <c r="R196" s="20"/>
      <c r="AM196" s="4"/>
      <c r="AN196" s="4"/>
      <c r="AO196" s="4"/>
      <c r="AP196" s="4"/>
      <c r="AQ196" s="4"/>
      <c r="AR196" s="4"/>
    </row>
    <row r="197" spans="1:44" s="14" customFormat="1" ht="27" customHeight="1">
      <c r="A197" s="46">
        <v>102</v>
      </c>
      <c r="B197" s="60" t="s">
        <v>325</v>
      </c>
      <c r="C197" s="46" t="s">
        <v>18</v>
      </c>
      <c r="D197" s="60"/>
      <c r="E197" s="60" t="s">
        <v>36</v>
      </c>
      <c r="F197" s="60" t="s">
        <v>446</v>
      </c>
      <c r="G197" s="60" t="s">
        <v>142</v>
      </c>
      <c r="H197" s="61">
        <v>5</v>
      </c>
      <c r="I197" s="32">
        <v>1</v>
      </c>
      <c r="J197" s="62">
        <v>1</v>
      </c>
      <c r="K197" s="27">
        <f t="shared" si="6"/>
        <v>0</v>
      </c>
      <c r="L197" s="63"/>
      <c r="M197" s="63"/>
      <c r="N197" s="32"/>
      <c r="O197" s="63">
        <v>0</v>
      </c>
      <c r="P197" s="63"/>
      <c r="Q197" s="63"/>
      <c r="R197" s="20"/>
      <c r="AM197" s="4"/>
      <c r="AN197" s="4"/>
      <c r="AO197" s="4"/>
      <c r="AP197" s="4"/>
      <c r="AQ197" s="4"/>
      <c r="AR197" s="4"/>
    </row>
    <row r="198" spans="1:44" s="14" customFormat="1" ht="27" customHeight="1">
      <c r="A198" s="46"/>
      <c r="B198" s="23" t="s">
        <v>325</v>
      </c>
      <c r="C198" s="24" t="s">
        <v>18</v>
      </c>
      <c r="D198" s="23"/>
      <c r="E198" s="23" t="s">
        <v>36</v>
      </c>
      <c r="F198" s="23" t="s">
        <v>369</v>
      </c>
      <c r="G198" s="23" t="s">
        <v>124</v>
      </c>
      <c r="H198" s="25">
        <v>0</v>
      </c>
      <c r="I198" s="2"/>
      <c r="J198" s="26"/>
      <c r="K198" s="27">
        <f t="shared" si="6"/>
        <v>0</v>
      </c>
      <c r="L198" s="27"/>
      <c r="M198" s="27"/>
      <c r="N198" s="2"/>
      <c r="O198" s="27">
        <v>0</v>
      </c>
      <c r="P198" s="27"/>
      <c r="Q198" s="27"/>
      <c r="R198" s="20"/>
      <c r="AM198" s="4"/>
      <c r="AN198" s="4"/>
      <c r="AO198" s="4"/>
      <c r="AP198" s="4"/>
      <c r="AQ198" s="4"/>
      <c r="AR198" s="4"/>
    </row>
    <row r="199" spans="1:44" s="14" customFormat="1" ht="18.75" customHeight="1" thickBot="1">
      <c r="A199" s="47"/>
      <c r="B199" s="48" t="s">
        <v>325</v>
      </c>
      <c r="C199" s="49" t="s">
        <v>18</v>
      </c>
      <c r="D199" s="48"/>
      <c r="E199" s="48" t="s">
        <v>370</v>
      </c>
      <c r="F199" s="48" t="s">
        <v>371</v>
      </c>
      <c r="G199" s="48" t="s">
        <v>136</v>
      </c>
      <c r="H199" s="50">
        <v>1</v>
      </c>
      <c r="I199" s="33"/>
      <c r="J199" s="51"/>
      <c r="K199" s="34">
        <f t="shared" si="6"/>
        <v>0</v>
      </c>
      <c r="L199" s="52"/>
      <c r="M199" s="52"/>
      <c r="N199" s="33"/>
      <c r="O199" s="52">
        <f>P199+Q199</f>
        <v>0</v>
      </c>
      <c r="P199" s="52"/>
      <c r="Q199" s="52"/>
      <c r="R199" s="20"/>
      <c r="AM199" s="4"/>
      <c r="AN199" s="4"/>
      <c r="AO199" s="4"/>
      <c r="AP199" s="4"/>
      <c r="AQ199" s="4"/>
      <c r="AR199" s="4"/>
    </row>
    <row r="200" spans="1:44" s="14" customFormat="1" ht="16.5" customHeight="1">
      <c r="A200" s="87" t="s">
        <v>145</v>
      </c>
      <c r="B200" s="87"/>
      <c r="C200" s="88"/>
      <c r="D200" s="89"/>
      <c r="E200" s="89"/>
      <c r="F200" s="89"/>
      <c r="G200" s="89"/>
      <c r="H200" s="88">
        <f>SUM(H10:H199)</f>
        <v>1067</v>
      </c>
      <c r="I200" s="88">
        <f>SUM(I10:I199)</f>
        <v>327</v>
      </c>
      <c r="J200" s="88">
        <f>SUM(J10:J199)</f>
        <v>335</v>
      </c>
      <c r="K200" s="90">
        <f>SUM(K10:K199)</f>
        <v>16538.14</v>
      </c>
      <c r="L200" s="90">
        <f t="shared" ref="L200:Q200" si="8">SUM(L10:L199)</f>
        <v>16538.14</v>
      </c>
      <c r="M200" s="88">
        <f t="shared" si="8"/>
        <v>0</v>
      </c>
      <c r="N200" s="88">
        <f t="shared" si="8"/>
        <v>627</v>
      </c>
      <c r="O200" s="90">
        <f>SUM(O10:O199)</f>
        <v>346591.66999999993</v>
      </c>
      <c r="P200" s="90">
        <f>SUM(P10:P199)</f>
        <v>334870.28999999998</v>
      </c>
      <c r="Q200" s="88">
        <f t="shared" si="8"/>
        <v>11721.380000000001</v>
      </c>
      <c r="R200" s="20"/>
      <c r="AM200" s="4"/>
      <c r="AN200" s="4"/>
      <c r="AO200" s="4"/>
      <c r="AP200" s="4"/>
      <c r="AQ200" s="4"/>
      <c r="AR200" s="4"/>
    </row>
    <row r="201" spans="1:44" s="14" customFormat="1" ht="15" customHeight="1">
      <c r="A201" s="5"/>
      <c r="B201" s="6"/>
      <c r="C201" s="5"/>
      <c r="D201" s="6"/>
      <c r="E201" s="6"/>
      <c r="F201" s="6"/>
      <c r="G201" s="6"/>
      <c r="H201" s="9"/>
      <c r="I201" s="9"/>
      <c r="J201" s="9"/>
      <c r="K201" s="9"/>
      <c r="L201" s="9"/>
      <c r="M201" s="11"/>
      <c r="N201" s="9"/>
      <c r="O201" s="9"/>
      <c r="P201" s="5"/>
      <c r="Q201" s="13"/>
      <c r="R201" s="20"/>
      <c r="AM201" s="4"/>
      <c r="AN201" s="4"/>
      <c r="AO201" s="4"/>
      <c r="AP201" s="4"/>
      <c r="AQ201" s="4"/>
      <c r="AR201" s="4"/>
    </row>
    <row r="202" spans="1:44" s="14" customForma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12"/>
      <c r="N202" s="4"/>
      <c r="O202" s="4"/>
      <c r="P202" s="4"/>
      <c r="Q202" s="12"/>
      <c r="R202" s="20"/>
      <c r="AM202" s="4"/>
      <c r="AN202" s="4"/>
      <c r="AO202" s="4"/>
      <c r="AP202" s="4"/>
      <c r="AQ202" s="4"/>
      <c r="AR202" s="4"/>
    </row>
    <row r="203" spans="1:44" s="14" customForma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15"/>
      <c r="M203" s="19"/>
      <c r="N203" s="4"/>
      <c r="O203" s="4"/>
      <c r="P203" s="4"/>
      <c r="Q203" s="12"/>
      <c r="AM203" s="4"/>
      <c r="AN203" s="4"/>
      <c r="AO203" s="4"/>
      <c r="AP203" s="4"/>
      <c r="AQ203" s="4"/>
      <c r="AR203" s="4"/>
    </row>
    <row r="204" spans="1:44" s="14" customForma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15"/>
      <c r="M204" s="12"/>
      <c r="N204" s="15"/>
      <c r="O204" s="15"/>
      <c r="P204" s="4"/>
      <c r="Q204" s="12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15"/>
      <c r="M205" s="12"/>
      <c r="N205" s="15"/>
      <c r="O205" s="4"/>
      <c r="P205" s="4"/>
      <c r="Q205" s="12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2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15"/>
      <c r="M208" s="12"/>
      <c r="N208" s="4"/>
      <c r="O208" s="4"/>
      <c r="P208" s="4"/>
      <c r="Q208" s="12"/>
      <c r="AM208" s="4"/>
      <c r="AN208" s="4"/>
      <c r="AO208" s="4"/>
      <c r="AP208" s="4"/>
      <c r="AQ208" s="4"/>
      <c r="AR208" s="4"/>
    </row>
    <row r="215" spans="1:44" s="12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15"/>
      <c r="N215" s="4"/>
      <c r="O215" s="4"/>
      <c r="P215" s="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4"/>
      <c r="AN215" s="4"/>
      <c r="AO215" s="4"/>
      <c r="AP215" s="4"/>
      <c r="AQ215" s="4"/>
      <c r="AR215" s="4"/>
    </row>
  </sheetData>
  <mergeCells count="8">
    <mergeCell ref="A200:B20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R217"/>
  <sheetViews>
    <sheetView topLeftCell="A71" zoomScale="75" zoomScaleNormal="75" workbookViewId="0">
      <selection activeCell="P71" sqref="A7:Q202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11</v>
      </c>
      <c r="I11" s="1">
        <v>4</v>
      </c>
      <c r="J11" s="26">
        <v>4</v>
      </c>
      <c r="K11" s="27">
        <f t="shared" ref="K11:K85" si="2">L11+M11</f>
        <v>0</v>
      </c>
      <c r="L11" s="27"/>
      <c r="M11" s="27"/>
      <c r="N11" s="1">
        <v>13</v>
      </c>
      <c r="O11" s="27">
        <f t="shared" si="1"/>
        <v>4669.3</v>
      </c>
      <c r="P11" s="27">
        <v>4669.3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3500.41</v>
      </c>
      <c r="P12" s="27">
        <v>3500.41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>
        <v>2</v>
      </c>
      <c r="J14" s="26">
        <v>3</v>
      </c>
      <c r="K14" s="27">
        <f t="shared" si="2"/>
        <v>0</v>
      </c>
      <c r="L14" s="27"/>
      <c r="M14" s="27"/>
      <c r="N14" s="1">
        <v>12</v>
      </c>
      <c r="O14" s="27">
        <f t="shared" si="1"/>
        <v>6380.54</v>
      </c>
      <c r="P14" s="27">
        <v>6380.54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12</v>
      </c>
      <c r="I15" s="2">
        <v>8</v>
      </c>
      <c r="J15" s="26">
        <v>8</v>
      </c>
      <c r="K15" s="27">
        <f t="shared" si="2"/>
        <v>0</v>
      </c>
      <c r="L15" s="27"/>
      <c r="M15" s="27"/>
      <c r="N15" s="2">
        <v>11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23</v>
      </c>
      <c r="I16" s="1">
        <v>17</v>
      </c>
      <c r="J16" s="26">
        <v>19</v>
      </c>
      <c r="K16" s="27">
        <f t="shared" si="2"/>
        <v>0</v>
      </c>
      <c r="L16" s="27"/>
      <c r="M16" s="27"/>
      <c r="N16" s="1">
        <v>18</v>
      </c>
      <c r="O16" s="27">
        <f t="shared" si="1"/>
        <v>9373.48</v>
      </c>
      <c r="P16" s="27">
        <v>9373.48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20</v>
      </c>
      <c r="I20" s="1">
        <v>10</v>
      </c>
      <c r="J20" s="26">
        <v>10</v>
      </c>
      <c r="K20" s="27">
        <f t="shared" si="2"/>
        <v>0</v>
      </c>
      <c r="L20" s="27"/>
      <c r="M20" s="27"/>
      <c r="N20" s="1">
        <v>15</v>
      </c>
      <c r="O20" s="27">
        <f t="shared" si="1"/>
        <v>4072.37</v>
      </c>
      <c r="P20" s="27">
        <f>4072.37</f>
        <v>4072.37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3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2290.6</v>
      </c>
      <c r="P22" s="27">
        <v>2290.6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7</v>
      </c>
      <c r="I26" s="1">
        <v>5</v>
      </c>
      <c r="J26" s="44">
        <v>5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13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9164.61</v>
      </c>
      <c r="P29" s="27">
        <f>1585.49+7579.12</f>
        <v>9164.61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7</v>
      </c>
      <c r="J32" s="26">
        <v>8</v>
      </c>
      <c r="K32" s="27">
        <f t="shared" si="2"/>
        <v>0</v>
      </c>
      <c r="L32" s="27"/>
      <c r="M32" s="27"/>
      <c r="N32" s="1">
        <v>7</v>
      </c>
      <c r="O32" s="27">
        <f t="shared" si="1"/>
        <v>8353.67</v>
      </c>
      <c r="P32" s="27">
        <v>8353.67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3</v>
      </c>
      <c r="I33" s="2"/>
      <c r="J33" s="26"/>
      <c r="K33" s="27">
        <f t="shared" si="2"/>
        <v>0</v>
      </c>
      <c r="L33" s="27"/>
      <c r="M33" s="27"/>
      <c r="N33" s="2">
        <v>3</v>
      </c>
      <c r="O33" s="27">
        <f t="shared" si="1"/>
        <v>881</v>
      </c>
      <c r="P33" s="27">
        <v>881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3494.69</v>
      </c>
      <c r="P34" s="27">
        <v>3494.69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5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5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7</v>
      </c>
      <c r="I37" s="2"/>
      <c r="J37" s="26"/>
      <c r="K37" s="27">
        <f t="shared" si="2"/>
        <v>0</v>
      </c>
      <c r="L37" s="27"/>
      <c r="M37" s="27"/>
      <c r="N37" s="2">
        <v>5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10</v>
      </c>
      <c r="I38" s="1">
        <v>6</v>
      </c>
      <c r="J38" s="26">
        <v>6</v>
      </c>
      <c r="K38" s="27">
        <f t="shared" si="2"/>
        <v>0</v>
      </c>
      <c r="L38" s="27"/>
      <c r="M38" s="27"/>
      <c r="N38" s="1">
        <v>10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10</v>
      </c>
      <c r="I39" s="2">
        <v>3</v>
      </c>
      <c r="J39" s="26">
        <v>3</v>
      </c>
      <c r="K39" s="27">
        <f t="shared" si="2"/>
        <v>0</v>
      </c>
      <c r="L39" s="27"/>
      <c r="M39" s="27"/>
      <c r="N39" s="2">
        <v>6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5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9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4</v>
      </c>
      <c r="I45" s="1"/>
      <c r="J45" s="26"/>
      <c r="K45" s="27">
        <f t="shared" si="2"/>
        <v>0</v>
      </c>
      <c r="L45" s="27"/>
      <c r="M45" s="27"/>
      <c r="N45" s="1">
        <v>3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7</v>
      </c>
      <c r="I48" s="1">
        <v>7</v>
      </c>
      <c r="J48" s="26">
        <v>7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4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12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6</v>
      </c>
      <c r="O50" s="27">
        <f t="shared" si="1"/>
        <v>6837.93</v>
      </c>
      <c r="P50" s="27">
        <v>6837.93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11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10258.950000000001</v>
      </c>
      <c r="P53" s="27">
        <v>10258.950000000001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6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5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9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15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18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2817.33</v>
      </c>
      <c r="P60" s="27">
        <v>2817.33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15</v>
      </c>
      <c r="I61" s="1">
        <v>9</v>
      </c>
      <c r="J61" s="26">
        <v>9</v>
      </c>
      <c r="K61" s="27">
        <f t="shared" si="2"/>
        <v>0</v>
      </c>
      <c r="L61" s="27"/>
      <c r="M61" s="27"/>
      <c r="N61" s="1">
        <v>10</v>
      </c>
      <c r="O61" s="27">
        <f t="shared" si="1"/>
        <v>3558.78</v>
      </c>
      <c r="P61" s="27">
        <v>3558.78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1</v>
      </c>
      <c r="J62" s="26">
        <v>1</v>
      </c>
      <c r="K62" s="27">
        <f t="shared" si="2"/>
        <v>0</v>
      </c>
      <c r="L62" s="27"/>
      <c r="M62" s="27"/>
      <c r="N62" s="1">
        <v>5</v>
      </c>
      <c r="O62" s="27">
        <f t="shared" si="1"/>
        <v>1585.8</v>
      </c>
      <c r="P62" s="27">
        <v>1585.8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7</v>
      </c>
      <c r="I63" s="1">
        <v>2</v>
      </c>
      <c r="J63" s="26">
        <v>2</v>
      </c>
      <c r="K63" s="27">
        <f t="shared" si="2"/>
        <v>0</v>
      </c>
      <c r="L63" s="27"/>
      <c r="M63" s="27"/>
      <c r="N63" s="1">
        <v>5</v>
      </c>
      <c r="O63" s="27">
        <f t="shared" si="1"/>
        <v>3793.8</v>
      </c>
      <c r="P63" s="27">
        <v>3793.8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12</v>
      </c>
      <c r="I64" s="1">
        <v>1</v>
      </c>
      <c r="J64" s="26">
        <v>1</v>
      </c>
      <c r="K64" s="27">
        <f t="shared" si="2"/>
        <v>0</v>
      </c>
      <c r="L64" s="27"/>
      <c r="M64" s="27"/>
      <c r="N64" s="1">
        <v>7</v>
      </c>
      <c r="O64" s="27">
        <f t="shared" si="1"/>
        <v>5902.7</v>
      </c>
      <c r="P64" s="27">
        <v>5902.7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7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10706</v>
      </c>
      <c r="P66" s="27">
        <f>1353.94+9352.06</f>
        <v>10706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8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14</v>
      </c>
      <c r="I70" s="2">
        <v>4</v>
      </c>
      <c r="J70" s="26">
        <v>4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14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19259.82</v>
      </c>
      <c r="P71" s="27">
        <f>8536.41+1900.55+1810.72+5409.65+1602.49</f>
        <v>19259.82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15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0</v>
      </c>
      <c r="P74" s="27"/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6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2242.5</v>
      </c>
      <c r="P75" s="27">
        <v>2242.5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0</v>
      </c>
      <c r="P76" s="27"/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9</v>
      </c>
      <c r="I77" s="1">
        <v>4</v>
      </c>
      <c r="J77" s="26">
        <v>4</v>
      </c>
      <c r="K77" s="27">
        <f t="shared" si="2"/>
        <v>0</v>
      </c>
      <c r="L77" s="27"/>
      <c r="M77" s="27"/>
      <c r="N77" s="1">
        <v>15</v>
      </c>
      <c r="O77" s="27">
        <f t="shared" si="1"/>
        <v>5457.7</v>
      </c>
      <c r="P77" s="27">
        <v>5457.7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7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2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3</v>
      </c>
      <c r="I80" s="1"/>
      <c r="J80" s="26"/>
      <c r="K80" s="27">
        <f t="shared" si="2"/>
        <v>0</v>
      </c>
      <c r="L80" s="27"/>
      <c r="M80" s="27"/>
      <c r="N80" s="1">
        <v>8</v>
      </c>
      <c r="O80" s="27">
        <f t="shared" si="1"/>
        <v>1497.7</v>
      </c>
      <c r="P80" s="27">
        <v>1497.7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268</v>
      </c>
      <c r="G81" s="23" t="s">
        <v>142</v>
      </c>
      <c r="H81" s="25">
        <v>0</v>
      </c>
      <c r="I81" s="1"/>
      <c r="J81" s="26"/>
      <c r="K81" s="27"/>
      <c r="L81" s="27"/>
      <c r="M81" s="27"/>
      <c r="N81" s="1"/>
      <c r="O81" s="27"/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5</v>
      </c>
      <c r="I82" s="1"/>
      <c r="J82" s="26"/>
      <c r="K82" s="27"/>
      <c r="L82" s="27"/>
      <c r="M82" s="27"/>
      <c r="N82" s="1"/>
      <c r="O82" s="27"/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32</v>
      </c>
      <c r="I83" s="1">
        <v>13</v>
      </c>
      <c r="J83" s="26">
        <v>13</v>
      </c>
      <c r="K83" s="27">
        <f t="shared" si="2"/>
        <v>0</v>
      </c>
      <c r="L83" s="27"/>
      <c r="M83" s="27"/>
      <c r="N83" s="1">
        <v>1</v>
      </c>
      <c r="O83" s="27">
        <f t="shared" si="1"/>
        <v>6215.87</v>
      </c>
      <c r="P83" s="27">
        <v>6215.87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9</v>
      </c>
      <c r="I84" s="1"/>
      <c r="J84" s="26"/>
      <c r="K84" s="27">
        <f t="shared" si="2"/>
        <v>0</v>
      </c>
      <c r="L84" s="27"/>
      <c r="M84" s="27"/>
      <c r="N84" s="1">
        <v>9</v>
      </c>
      <c r="O84" s="27">
        <f t="shared" si="1"/>
        <v>477.41</v>
      </c>
      <c r="P84" s="27">
        <v>477.41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19</v>
      </c>
      <c r="I86" s="1">
        <v>16</v>
      </c>
      <c r="J86" s="26">
        <v>16</v>
      </c>
      <c r="K86" s="27">
        <f t="shared" ref="K86:K154" si="3">L86+M86</f>
        <v>0</v>
      </c>
      <c r="L86" s="27"/>
      <c r="M86" s="27"/>
      <c r="N86" s="1">
        <v>9</v>
      </c>
      <c r="O86" s="27">
        <f t="shared" si="1"/>
        <v>1369.13</v>
      </c>
      <c r="P86" s="27">
        <v>1369.13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5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10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3045.34</v>
      </c>
      <c r="P91" s="27">
        <v>3045.34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10</v>
      </c>
      <c r="I92" s="2">
        <v>1</v>
      </c>
      <c r="J92" s="26">
        <v>1</v>
      </c>
      <c r="K92" s="27">
        <f t="shared" si="3"/>
        <v>0</v>
      </c>
      <c r="L92" s="27"/>
      <c r="M92" s="27"/>
      <c r="N92" s="2">
        <v>14</v>
      </c>
      <c r="O92" s="27">
        <f t="shared" si="1"/>
        <v>0</v>
      </c>
      <c r="P92" s="27"/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0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7</v>
      </c>
      <c r="I95" s="1">
        <v>4</v>
      </c>
      <c r="J95" s="26">
        <v>4</v>
      </c>
      <c r="K95" s="27">
        <f t="shared" si="3"/>
        <v>0</v>
      </c>
      <c r="L95" s="27"/>
      <c r="M95" s="27"/>
      <c r="N95" s="1">
        <v>4</v>
      </c>
      <c r="O95" s="27">
        <f t="shared" si="4"/>
        <v>3806.1</v>
      </c>
      <c r="P95" s="27">
        <v>3806.1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14</v>
      </c>
      <c r="I101" s="1">
        <v>7</v>
      </c>
      <c r="J101" s="26">
        <v>7</v>
      </c>
      <c r="K101" s="27">
        <f t="shared" si="3"/>
        <v>0</v>
      </c>
      <c r="L101" s="27"/>
      <c r="M101" s="27"/>
      <c r="N101" s="1">
        <v>8</v>
      </c>
      <c r="O101" s="27">
        <f t="shared" si="4"/>
        <v>8926.48</v>
      </c>
      <c r="P101" s="27">
        <v>8926.48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7</v>
      </c>
      <c r="I102" s="1">
        <v>3</v>
      </c>
      <c r="J102" s="26">
        <v>3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10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9</v>
      </c>
      <c r="I105" s="1">
        <v>5</v>
      </c>
      <c r="J105" s="26">
        <v>5</v>
      </c>
      <c r="K105" s="27">
        <f t="shared" si="3"/>
        <v>0</v>
      </c>
      <c r="L105" s="27"/>
      <c r="M105" s="27"/>
      <c r="N105" s="1">
        <v>17</v>
      </c>
      <c r="O105" s="27">
        <f>P105+Q105</f>
        <v>25135.54</v>
      </c>
      <c r="P105" s="27">
        <f>7142.66+6007.6+11985.28</f>
        <v>25135.54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4</v>
      </c>
      <c r="I106" s="1"/>
      <c r="J106" s="26"/>
      <c r="K106" s="27">
        <f t="shared" si="3"/>
        <v>0</v>
      </c>
      <c r="L106" s="27"/>
      <c r="M106" s="27"/>
      <c r="N106" s="1">
        <v>5</v>
      </c>
      <c r="O106" s="27">
        <f>P106+Q106</f>
        <v>3171.6</v>
      </c>
      <c r="P106" s="27">
        <v>3171.6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7</v>
      </c>
      <c r="I107" s="2"/>
      <c r="J107" s="26"/>
      <c r="K107" s="27">
        <f t="shared" si="3"/>
        <v>0</v>
      </c>
      <c r="L107" s="27"/>
      <c r="M107" s="27"/>
      <c r="N107" s="2">
        <v>20</v>
      </c>
      <c r="O107" s="27">
        <f>P107+Q107</f>
        <v>10882.75</v>
      </c>
      <c r="P107" s="35">
        <v>10882.75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6</v>
      </c>
      <c r="I109" s="2"/>
      <c r="J109" s="26"/>
      <c r="K109" s="27">
        <f t="shared" si="3"/>
        <v>0</v>
      </c>
      <c r="L109" s="27"/>
      <c r="M109" s="27"/>
      <c r="N109" s="2">
        <v>2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3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18</v>
      </c>
      <c r="D111" s="23"/>
      <c r="E111" s="23" t="s">
        <v>104</v>
      </c>
      <c r="F111" s="23" t="s">
        <v>417</v>
      </c>
      <c r="G111" s="23" t="s">
        <v>142</v>
      </c>
      <c r="H111" s="25">
        <v>8</v>
      </c>
      <c r="I111" s="2">
        <v>4</v>
      </c>
      <c r="J111" s="26">
        <v>4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7</v>
      </c>
      <c r="I112" s="2"/>
      <c r="J112" s="26"/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5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16</v>
      </c>
      <c r="I114" s="1">
        <v>15</v>
      </c>
      <c r="J114" s="26">
        <v>15</v>
      </c>
      <c r="K114" s="27">
        <f t="shared" si="3"/>
        <v>0</v>
      </c>
      <c r="L114" s="27"/>
      <c r="M114" s="27"/>
      <c r="N114" s="1">
        <v>5</v>
      </c>
      <c r="O114" s="27">
        <f t="shared" si="4"/>
        <v>0</v>
      </c>
      <c r="P114" s="27"/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15</v>
      </c>
      <c r="I118" s="1">
        <v>9</v>
      </c>
      <c r="J118" s="26">
        <v>10</v>
      </c>
      <c r="K118" s="27">
        <f t="shared" si="3"/>
        <v>0</v>
      </c>
      <c r="L118" s="27"/>
      <c r="M118" s="27"/>
      <c r="N118" s="1">
        <v>6</v>
      </c>
      <c r="O118" s="27">
        <f t="shared" si="4"/>
        <v>0</v>
      </c>
      <c r="P118" s="27"/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10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4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5</v>
      </c>
      <c r="I124" s="1"/>
      <c r="J124" s="26"/>
      <c r="K124" s="27">
        <f t="shared" si="3"/>
        <v>0</v>
      </c>
      <c r="L124" s="27"/>
      <c r="M124" s="27"/>
      <c r="N124" s="1">
        <v>4</v>
      </c>
      <c r="O124" s="27">
        <f t="shared" si="4"/>
        <v>2479.17</v>
      </c>
      <c r="P124" s="27">
        <v>2479.17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1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11</v>
      </c>
      <c r="I126" s="1">
        <v>10</v>
      </c>
      <c r="J126" s="26">
        <v>10</v>
      </c>
      <c r="K126" s="27">
        <f t="shared" si="3"/>
        <v>0</v>
      </c>
      <c r="L126" s="27"/>
      <c r="M126" s="27"/>
      <c r="N126" s="1">
        <v>7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2</v>
      </c>
      <c r="O127" s="27">
        <f t="shared" si="4"/>
        <v>0</v>
      </c>
      <c r="P127" s="27"/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34</v>
      </c>
      <c r="I128" s="1">
        <v>29</v>
      </c>
      <c r="J128" s="26">
        <v>29</v>
      </c>
      <c r="K128" s="27">
        <f t="shared" si="3"/>
        <v>0</v>
      </c>
      <c r="L128" s="27"/>
      <c r="M128" s="27"/>
      <c r="N128" s="1">
        <v>11</v>
      </c>
      <c r="O128" s="27">
        <f t="shared" si="4"/>
        <v>4741.68</v>
      </c>
      <c r="P128" s="27">
        <v>4741.68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8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15</v>
      </c>
      <c r="I130" s="1">
        <v>11</v>
      </c>
      <c r="J130" s="26">
        <v>11</v>
      </c>
      <c r="K130" s="27">
        <f t="shared" si="3"/>
        <v>0</v>
      </c>
      <c r="L130" s="27"/>
      <c r="M130" s="27"/>
      <c r="N130" s="1">
        <v>9</v>
      </c>
      <c r="O130" s="27">
        <f t="shared" si="4"/>
        <v>3710.9</v>
      </c>
      <c r="P130" s="27">
        <f>919.46+2791.44</f>
        <v>3710.9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16</v>
      </c>
      <c r="I132" s="1">
        <v>5</v>
      </c>
      <c r="J132" s="26">
        <v>5</v>
      </c>
      <c r="K132" s="27">
        <f t="shared" si="3"/>
        <v>0</v>
      </c>
      <c r="L132" s="27"/>
      <c r="M132" s="27"/>
      <c r="N132" s="1">
        <v>14</v>
      </c>
      <c r="O132" s="27">
        <f t="shared" si="4"/>
        <v>0</v>
      </c>
      <c r="P132" s="27"/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26</v>
      </c>
      <c r="I133" s="1">
        <v>2</v>
      </c>
      <c r="J133" s="26">
        <v>2</v>
      </c>
      <c r="K133" s="27">
        <f t="shared" si="3"/>
        <v>0</v>
      </c>
      <c r="L133" s="27"/>
      <c r="M133" s="27"/>
      <c r="N133" s="1">
        <v>5</v>
      </c>
      <c r="O133" s="27">
        <f t="shared" si="4"/>
        <v>462.53</v>
      </c>
      <c r="P133" s="27">
        <v>462.53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14</v>
      </c>
      <c r="I134" s="1">
        <v>3</v>
      </c>
      <c r="J134" s="26">
        <v>3</v>
      </c>
      <c r="K134" s="27">
        <f t="shared" si="3"/>
        <v>0</v>
      </c>
      <c r="L134" s="27"/>
      <c r="M134" s="27"/>
      <c r="N134" s="1">
        <v>8</v>
      </c>
      <c r="O134" s="27">
        <f t="shared" si="4"/>
        <v>9188.7999999999993</v>
      </c>
      <c r="P134" s="27">
        <f>1359.87+2464.36+5364.57</f>
        <v>9188.7999999999993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1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0</v>
      </c>
      <c r="P136" s="27"/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13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440.5</v>
      </c>
      <c r="P137" s="27">
        <v>440.5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6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7</v>
      </c>
      <c r="O138" s="27">
        <f t="shared" si="4"/>
        <v>1217</v>
      </c>
      <c r="P138" s="27">
        <v>1217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2</v>
      </c>
      <c r="I139" s="1"/>
      <c r="J139" s="26"/>
      <c r="K139" s="27">
        <f t="shared" si="3"/>
        <v>0</v>
      </c>
      <c r="L139" s="27"/>
      <c r="M139" s="27"/>
      <c r="N139" s="1">
        <v>1</v>
      </c>
      <c r="O139" s="27">
        <f t="shared" si="4"/>
        <v>0</v>
      </c>
      <c r="P139" s="27"/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6</v>
      </c>
      <c r="I140" s="1">
        <v>4</v>
      </c>
      <c r="J140" s="26">
        <v>4</v>
      </c>
      <c r="K140" s="27">
        <f t="shared" si="3"/>
        <v>0</v>
      </c>
      <c r="L140" s="27"/>
      <c r="M140" s="27"/>
      <c r="N140" s="1">
        <v>2</v>
      </c>
      <c r="O140" s="27">
        <f t="shared" si="4"/>
        <v>0</v>
      </c>
      <c r="P140" s="27"/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</v>
      </c>
      <c r="I141" s="1"/>
      <c r="J141" s="26"/>
      <c r="K141" s="27">
        <f t="shared" si="3"/>
        <v>0</v>
      </c>
      <c r="L141" s="27"/>
      <c r="M141" s="27"/>
      <c r="N141" s="1">
        <v>15</v>
      </c>
      <c r="O141" s="27">
        <f t="shared" si="4"/>
        <v>0</v>
      </c>
      <c r="P141" s="27"/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4</v>
      </c>
      <c r="O142" s="27">
        <f t="shared" si="4"/>
        <v>0</v>
      </c>
      <c r="P142" s="27"/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0</v>
      </c>
      <c r="P143" s="27"/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6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6</v>
      </c>
      <c r="I146" s="1">
        <v>4</v>
      </c>
      <c r="J146" s="26">
        <v>4</v>
      </c>
      <c r="K146" s="27">
        <f t="shared" si="3"/>
        <v>0</v>
      </c>
      <c r="L146" s="27"/>
      <c r="M146" s="27"/>
      <c r="N146" s="1">
        <v>1</v>
      </c>
      <c r="O146" s="27">
        <f t="shared" si="4"/>
        <v>0</v>
      </c>
      <c r="P146" s="27"/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14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20</v>
      </c>
      <c r="I149" s="1">
        <v>7</v>
      </c>
      <c r="J149" s="26">
        <v>11</v>
      </c>
      <c r="K149" s="27">
        <f t="shared" si="3"/>
        <v>0</v>
      </c>
      <c r="L149" s="27"/>
      <c r="M149" s="27"/>
      <c r="N149" s="1">
        <v>7</v>
      </c>
      <c r="O149" s="27">
        <f t="shared" si="4"/>
        <v>5675.37</v>
      </c>
      <c r="P149" s="27">
        <v>5675.37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4</v>
      </c>
      <c r="I150" s="1"/>
      <c r="J150" s="26"/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5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0</v>
      </c>
      <c r="P152" s="27"/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8</v>
      </c>
      <c r="I154" s="1"/>
      <c r="J154" s="26"/>
      <c r="K154" s="27">
        <f t="shared" si="3"/>
        <v>0</v>
      </c>
      <c r="L154" s="27"/>
      <c r="M154" s="27"/>
      <c r="N154" s="1">
        <v>2</v>
      </c>
      <c r="O154" s="27">
        <f t="shared" si="4"/>
        <v>0</v>
      </c>
      <c r="P154" s="27"/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4</v>
      </c>
      <c r="I155" s="1"/>
      <c r="J155" s="26"/>
      <c r="K155" s="27">
        <f t="shared" ref="K155:K201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10</v>
      </c>
      <c r="I157" s="1">
        <v>9</v>
      </c>
      <c r="J157" s="26">
        <v>10</v>
      </c>
      <c r="K157" s="27">
        <f t="shared" si="6"/>
        <v>0</v>
      </c>
      <c r="L157" s="27"/>
      <c r="M157" s="27"/>
      <c r="N157" s="1">
        <v>6</v>
      </c>
      <c r="O157" s="27">
        <f t="shared" si="4"/>
        <v>2112.7600000000002</v>
      </c>
      <c r="P157" s="27">
        <f>887.45+1225.31</f>
        <v>2112.7600000000002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5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9916.84</v>
      </c>
      <c r="P163" s="27">
        <f>1061.97+8854.87</f>
        <v>9916.84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7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24">
        <v>83</v>
      </c>
      <c r="B165" s="23" t="s">
        <v>302</v>
      </c>
      <c r="C165" s="24" t="s">
        <v>18</v>
      </c>
      <c r="D165" s="23"/>
      <c r="E165" s="23" t="s">
        <v>19</v>
      </c>
      <c r="F165" s="23" t="s">
        <v>348</v>
      </c>
      <c r="G165" s="23" t="s">
        <v>122</v>
      </c>
      <c r="H165" s="25">
        <v>10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20"/>
    </row>
    <row r="166" spans="1:38" ht="15" customHeight="1">
      <c r="A166" s="24">
        <v>84</v>
      </c>
      <c r="B166" s="23" t="s">
        <v>328</v>
      </c>
      <c r="C166" s="24" t="s">
        <v>18</v>
      </c>
      <c r="D166" s="23"/>
      <c r="E166" s="23" t="s">
        <v>19</v>
      </c>
      <c r="F166" s="23" t="s">
        <v>347</v>
      </c>
      <c r="G166" s="23" t="s">
        <v>122</v>
      </c>
      <c r="H166" s="25">
        <v>6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85</v>
      </c>
      <c r="B167" s="23" t="s">
        <v>314</v>
      </c>
      <c r="C167" s="24" t="s">
        <v>18</v>
      </c>
      <c r="D167" s="23"/>
      <c r="E167" s="23" t="s">
        <v>19</v>
      </c>
      <c r="F167" s="23" t="s">
        <v>435</v>
      </c>
      <c r="G167" s="23" t="s">
        <v>142</v>
      </c>
      <c r="H167" s="25">
        <v>1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/>
      <c r="B168" s="23" t="s">
        <v>314</v>
      </c>
      <c r="C168" s="24" t="s">
        <v>18</v>
      </c>
      <c r="D168" s="23"/>
      <c r="E168" s="23" t="s">
        <v>19</v>
      </c>
      <c r="F168" s="23" t="s">
        <v>268</v>
      </c>
      <c r="G168" s="23" t="s">
        <v>136</v>
      </c>
      <c r="H168" s="25">
        <v>4</v>
      </c>
      <c r="I168" s="1"/>
      <c r="J168" s="26"/>
      <c r="K168" s="27"/>
      <c r="L168" s="27"/>
      <c r="M168" s="27"/>
      <c r="N168" s="1"/>
      <c r="O168" s="27"/>
      <c r="P168" s="27"/>
      <c r="Q168" s="27"/>
      <c r="R168" s="20"/>
    </row>
    <row r="169" spans="1:38" ht="15" customHeight="1">
      <c r="A169" s="24">
        <v>86</v>
      </c>
      <c r="B169" s="23" t="s">
        <v>330</v>
      </c>
      <c r="C169" s="24" t="s">
        <v>18</v>
      </c>
      <c r="D169" s="23"/>
      <c r="E169" s="23" t="s">
        <v>104</v>
      </c>
      <c r="F169" s="23" t="s">
        <v>341</v>
      </c>
      <c r="G169" s="23" t="s">
        <v>131</v>
      </c>
      <c r="H169" s="25">
        <v>6</v>
      </c>
      <c r="I169" s="1"/>
      <c r="J169" s="26"/>
      <c r="K169" s="27"/>
      <c r="L169" s="27"/>
      <c r="M169" s="27"/>
      <c r="N169" s="1"/>
      <c r="O169" s="27"/>
      <c r="P169" s="27"/>
      <c r="Q169" s="27"/>
      <c r="R169" s="20"/>
    </row>
    <row r="170" spans="1:38" s="28" customFormat="1" ht="15" customHeight="1">
      <c r="A170" s="24"/>
      <c r="B170" s="23" t="s">
        <v>330</v>
      </c>
      <c r="C170" s="24" t="s">
        <v>18</v>
      </c>
      <c r="D170" s="23"/>
      <c r="E170" s="23" t="s">
        <v>19</v>
      </c>
      <c r="F170" s="23" t="s">
        <v>346</v>
      </c>
      <c r="G170" s="23" t="s">
        <v>122</v>
      </c>
      <c r="H170" s="25">
        <v>5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38" ht="24.75" customHeight="1">
      <c r="A171" s="29">
        <v>87</v>
      </c>
      <c r="B171" s="30" t="s">
        <v>105</v>
      </c>
      <c r="C171" s="29" t="s">
        <v>30</v>
      </c>
      <c r="D171" s="30" t="s">
        <v>106</v>
      </c>
      <c r="E171" s="30" t="s">
        <v>19</v>
      </c>
      <c r="F171" s="30" t="s">
        <v>436</v>
      </c>
      <c r="G171" s="30" t="s">
        <v>142</v>
      </c>
      <c r="H171" s="25">
        <v>9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15276.04</v>
      </c>
      <c r="P171" s="27">
        <f>4712.69+2993.76+7569.59</f>
        <v>15276.04</v>
      </c>
      <c r="Q171" s="27"/>
      <c r="R171" s="20"/>
    </row>
    <row r="172" spans="1:38" ht="24.75" customHeight="1">
      <c r="A172" s="29">
        <v>88</v>
      </c>
      <c r="B172" s="30" t="s">
        <v>315</v>
      </c>
      <c r="C172" s="29" t="s">
        <v>18</v>
      </c>
      <c r="D172" s="30"/>
      <c r="E172" s="30" t="s">
        <v>19</v>
      </c>
      <c r="F172" s="30" t="s">
        <v>437</v>
      </c>
      <c r="G172" s="30" t="s">
        <v>142</v>
      </c>
      <c r="H172" s="25">
        <v>3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20"/>
    </row>
    <row r="173" spans="1:38" s="28" customFormat="1" ht="24.75" customHeight="1">
      <c r="A173" s="29"/>
      <c r="B173" s="30" t="s">
        <v>315</v>
      </c>
      <c r="C173" s="29" t="s">
        <v>18</v>
      </c>
      <c r="D173" s="30"/>
      <c r="E173" s="30" t="s">
        <v>322</v>
      </c>
      <c r="F173" s="30" t="s">
        <v>323</v>
      </c>
      <c r="G173" s="30" t="s">
        <v>124</v>
      </c>
      <c r="H173" s="25">
        <v>1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0</v>
      </c>
      <c r="P173" s="27"/>
      <c r="Q173" s="27"/>
      <c r="R173" s="31"/>
    </row>
    <row r="174" spans="1:38" s="7" customFormat="1" ht="38.450000000000003" customHeight="1">
      <c r="A174" s="29">
        <v>89</v>
      </c>
      <c r="B174" s="30" t="s">
        <v>265</v>
      </c>
      <c r="C174" s="29" t="s">
        <v>18</v>
      </c>
      <c r="D174" s="30"/>
      <c r="E174" s="30" t="s">
        <v>19</v>
      </c>
      <c r="F174" s="30" t="s">
        <v>123</v>
      </c>
      <c r="G174" s="30" t="s">
        <v>142</v>
      </c>
      <c r="H174" s="25">
        <v>0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</row>
    <row r="175" spans="1:38" s="7" customFormat="1" ht="38.450000000000003" customHeight="1">
      <c r="A175" s="24">
        <v>90</v>
      </c>
      <c r="B175" s="23" t="s">
        <v>107</v>
      </c>
      <c r="C175" s="24" t="s">
        <v>18</v>
      </c>
      <c r="D175" s="23"/>
      <c r="E175" s="23" t="s">
        <v>41</v>
      </c>
      <c r="F175" s="30" t="s">
        <v>438</v>
      </c>
      <c r="G175" s="23" t="s">
        <v>142</v>
      </c>
      <c r="H175" s="25">
        <v>2</v>
      </c>
      <c r="I175" s="1"/>
      <c r="J175" s="26"/>
      <c r="K175" s="27">
        <f t="shared" si="6"/>
        <v>0</v>
      </c>
      <c r="L175" s="27"/>
      <c r="M175" s="27"/>
      <c r="N175" s="1">
        <v>1</v>
      </c>
      <c r="O175" s="27">
        <f t="shared" si="4"/>
        <v>1221.57</v>
      </c>
      <c r="P175" s="27">
        <v>1221.57</v>
      </c>
      <c r="Q175" s="27"/>
      <c r="R175" s="20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</row>
    <row r="176" spans="1:38" ht="15.75" customHeight="1">
      <c r="A176" s="24"/>
      <c r="B176" s="23" t="s">
        <v>107</v>
      </c>
      <c r="C176" s="24" t="s">
        <v>18</v>
      </c>
      <c r="D176" s="23"/>
      <c r="E176" s="23" t="s">
        <v>41</v>
      </c>
      <c r="F176" s="23" t="s">
        <v>295</v>
      </c>
      <c r="G176" s="23" t="s">
        <v>136</v>
      </c>
      <c r="H176" s="25">
        <v>10</v>
      </c>
      <c r="I176" s="2">
        <v>4</v>
      </c>
      <c r="J176" s="26">
        <v>4</v>
      </c>
      <c r="K176" s="27">
        <f t="shared" si="6"/>
        <v>0</v>
      </c>
      <c r="L176" s="27"/>
      <c r="M176" s="27"/>
      <c r="N176" s="2">
        <v>15</v>
      </c>
      <c r="O176" s="27">
        <f t="shared" si="4"/>
        <v>0</v>
      </c>
      <c r="P176" s="27"/>
      <c r="Q176" s="27"/>
      <c r="R176" s="20"/>
    </row>
    <row r="177" spans="1:38" ht="16.5" customHeight="1">
      <c r="A177" s="24">
        <v>91</v>
      </c>
      <c r="B177" s="23" t="s">
        <v>108</v>
      </c>
      <c r="C177" s="24" t="s">
        <v>18</v>
      </c>
      <c r="D177" s="23"/>
      <c r="E177" s="23" t="s">
        <v>19</v>
      </c>
      <c r="F177" s="23" t="s">
        <v>439</v>
      </c>
      <c r="G177" s="23" t="s">
        <v>142</v>
      </c>
      <c r="H177" s="25">
        <v>20</v>
      </c>
      <c r="I177" s="1">
        <v>15</v>
      </c>
      <c r="J177" s="26">
        <v>15</v>
      </c>
      <c r="K177" s="27">
        <f t="shared" si="6"/>
        <v>0</v>
      </c>
      <c r="L177" s="27"/>
      <c r="M177" s="27"/>
      <c r="N177" s="1">
        <v>6</v>
      </c>
      <c r="O177" s="27">
        <f t="shared" si="4"/>
        <v>5327.91</v>
      </c>
      <c r="P177" s="27">
        <v>5327.91</v>
      </c>
      <c r="Q177" s="27"/>
      <c r="R177" s="20"/>
    </row>
    <row r="178" spans="1:38" s="7" customFormat="1" ht="16.5" customHeight="1">
      <c r="A178" s="24"/>
      <c r="B178" s="23" t="s">
        <v>108</v>
      </c>
      <c r="C178" s="24" t="s">
        <v>18</v>
      </c>
      <c r="D178" s="23"/>
      <c r="E178" s="23" t="s">
        <v>19</v>
      </c>
      <c r="F178" s="23" t="s">
        <v>345</v>
      </c>
      <c r="G178" s="23" t="s">
        <v>122</v>
      </c>
      <c r="H178" s="25">
        <v>6</v>
      </c>
      <c r="I178" s="1"/>
      <c r="J178" s="26"/>
      <c r="K178" s="27">
        <f t="shared" si="6"/>
        <v>0</v>
      </c>
      <c r="L178" s="27"/>
      <c r="M178" s="27"/>
      <c r="N178" s="1">
        <v>4</v>
      </c>
      <c r="O178" s="27">
        <f t="shared" si="4"/>
        <v>0</v>
      </c>
      <c r="P178" s="27"/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s="7" customFormat="1" ht="16.5" customHeight="1">
      <c r="A179" s="24">
        <v>92</v>
      </c>
      <c r="B179" s="23" t="s">
        <v>146</v>
      </c>
      <c r="C179" s="24" t="s">
        <v>18</v>
      </c>
      <c r="D179" s="23"/>
      <c r="E179" s="23" t="s">
        <v>104</v>
      </c>
      <c r="F179" s="23" t="s">
        <v>291</v>
      </c>
      <c r="G179" s="23" t="s">
        <v>142</v>
      </c>
      <c r="H179" s="25">
        <v>0</v>
      </c>
      <c r="I179" s="1"/>
      <c r="J179" s="26"/>
      <c r="K179" s="27">
        <f t="shared" si="6"/>
        <v>0</v>
      </c>
      <c r="L179" s="27"/>
      <c r="M179" s="27"/>
      <c r="N179" s="1">
        <v>2</v>
      </c>
      <c r="O179" s="27">
        <f t="shared" si="4"/>
        <v>2891.29</v>
      </c>
      <c r="P179" s="27">
        <v>2891.29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23.45" customHeight="1">
      <c r="A180" s="29">
        <v>93</v>
      </c>
      <c r="B180" s="30" t="s">
        <v>109</v>
      </c>
      <c r="C180" s="29" t="s">
        <v>52</v>
      </c>
      <c r="D180" s="30" t="s">
        <v>110</v>
      </c>
      <c r="E180" s="30" t="s">
        <v>19</v>
      </c>
      <c r="F180" s="30" t="s">
        <v>440</v>
      </c>
      <c r="G180" s="30" t="s">
        <v>142</v>
      </c>
      <c r="H180" s="25">
        <v>25</v>
      </c>
      <c r="I180" s="1">
        <v>19</v>
      </c>
      <c r="J180" s="26">
        <v>19</v>
      </c>
      <c r="K180" s="27">
        <f t="shared" si="6"/>
        <v>0</v>
      </c>
      <c r="L180" s="27"/>
      <c r="M180" s="27"/>
      <c r="N180" s="1">
        <v>17</v>
      </c>
      <c r="O180" s="27">
        <f t="shared" si="4"/>
        <v>14008.98</v>
      </c>
      <c r="P180" s="27">
        <f>8759.8+505.2+4743.98</f>
        <v>14008.98</v>
      </c>
      <c r="Q180" s="27"/>
      <c r="R180" s="20"/>
    </row>
    <row r="181" spans="1:38" s="7" customFormat="1" ht="27" customHeight="1">
      <c r="A181" s="29"/>
      <c r="B181" s="30" t="s">
        <v>109</v>
      </c>
      <c r="C181" s="29" t="s">
        <v>52</v>
      </c>
      <c r="D181" s="30" t="s">
        <v>110</v>
      </c>
      <c r="E181" s="30" t="s">
        <v>19</v>
      </c>
      <c r="F181" s="30" t="s">
        <v>344</v>
      </c>
      <c r="G181" s="30" t="s">
        <v>122</v>
      </c>
      <c r="H181" s="25">
        <v>14</v>
      </c>
      <c r="I181" s="1"/>
      <c r="J181" s="26"/>
      <c r="K181" s="27">
        <f t="shared" si="6"/>
        <v>0</v>
      </c>
      <c r="L181" s="27"/>
      <c r="M181" s="27"/>
      <c r="N181" s="1">
        <v>13</v>
      </c>
      <c r="O181" s="27">
        <f t="shared" si="4"/>
        <v>3199.6</v>
      </c>
      <c r="P181" s="27">
        <v>3199.6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7.75" customHeight="1">
      <c r="A182" s="24">
        <v>94</v>
      </c>
      <c r="B182" s="23" t="s">
        <v>111</v>
      </c>
      <c r="C182" s="24" t="s">
        <v>18</v>
      </c>
      <c r="D182" s="23"/>
      <c r="E182" s="23" t="s">
        <v>112</v>
      </c>
      <c r="F182" s="23" t="s">
        <v>441</v>
      </c>
      <c r="G182" s="23" t="s">
        <v>142</v>
      </c>
      <c r="H182" s="25">
        <v>6</v>
      </c>
      <c r="I182" s="1"/>
      <c r="J182" s="26"/>
      <c r="K182" s="27">
        <f t="shared" si="6"/>
        <v>0</v>
      </c>
      <c r="L182" s="27"/>
      <c r="M182" s="27"/>
      <c r="N182" s="1"/>
      <c r="O182" s="27">
        <f t="shared" si="4"/>
        <v>8928</v>
      </c>
      <c r="P182" s="27">
        <v>8928</v>
      </c>
      <c r="Q182" s="27"/>
      <c r="R182" s="20"/>
    </row>
    <row r="183" spans="1:38" ht="16.5" customHeight="1">
      <c r="A183" s="24"/>
      <c r="B183" s="23" t="s">
        <v>111</v>
      </c>
      <c r="C183" s="24" t="s">
        <v>18</v>
      </c>
      <c r="D183" s="23"/>
      <c r="E183" s="23" t="s">
        <v>112</v>
      </c>
      <c r="F183" s="23" t="s">
        <v>123</v>
      </c>
      <c r="G183" s="23" t="s">
        <v>136</v>
      </c>
      <c r="H183" s="25">
        <v>7</v>
      </c>
      <c r="I183" s="2"/>
      <c r="J183" s="26"/>
      <c r="K183" s="27">
        <f t="shared" si="6"/>
        <v>0</v>
      </c>
      <c r="L183" s="27"/>
      <c r="M183" s="27"/>
      <c r="N183" s="2">
        <v>2</v>
      </c>
      <c r="O183" s="27">
        <f t="shared" si="4"/>
        <v>0</v>
      </c>
      <c r="P183" s="27"/>
      <c r="Q183" s="27"/>
      <c r="R183" s="20"/>
    </row>
    <row r="184" spans="1:38" ht="16.5" customHeight="1">
      <c r="A184" s="24">
        <v>95</v>
      </c>
      <c r="B184" s="23" t="s">
        <v>113</v>
      </c>
      <c r="C184" s="24" t="s">
        <v>18</v>
      </c>
      <c r="D184" s="23"/>
      <c r="E184" s="23" t="s">
        <v>19</v>
      </c>
      <c r="F184" s="23" t="s">
        <v>120</v>
      </c>
      <c r="G184" s="23" t="s">
        <v>142</v>
      </c>
      <c r="H184" s="25">
        <v>0</v>
      </c>
      <c r="I184" s="1"/>
      <c r="J184" s="26"/>
      <c r="K184" s="27">
        <f t="shared" si="6"/>
        <v>0</v>
      </c>
      <c r="L184" s="27"/>
      <c r="M184" s="27"/>
      <c r="N184" s="1">
        <v>2</v>
      </c>
      <c r="O184" s="27">
        <f t="shared" si="4"/>
        <v>0</v>
      </c>
      <c r="P184" s="27"/>
      <c r="Q184" s="27"/>
      <c r="R184" s="20"/>
    </row>
    <row r="185" spans="1:38" ht="18.75" customHeight="1">
      <c r="A185" s="24"/>
      <c r="B185" s="23" t="s">
        <v>113</v>
      </c>
      <c r="C185" s="24" t="s">
        <v>18</v>
      </c>
      <c r="D185" s="23"/>
      <c r="E185" s="23" t="s">
        <v>19</v>
      </c>
      <c r="F185" s="23" t="s">
        <v>292</v>
      </c>
      <c r="G185" s="23" t="s">
        <v>122</v>
      </c>
      <c r="H185" s="25">
        <v>11</v>
      </c>
      <c r="I185" s="1">
        <v>1</v>
      </c>
      <c r="J185" s="26">
        <v>1</v>
      </c>
      <c r="K185" s="27">
        <f t="shared" si="6"/>
        <v>0</v>
      </c>
      <c r="L185" s="27"/>
      <c r="M185" s="27"/>
      <c r="N185" s="1">
        <v>13</v>
      </c>
      <c r="O185" s="27">
        <f t="shared" si="4"/>
        <v>1321.5</v>
      </c>
      <c r="P185" s="27">
        <v>1321.5</v>
      </c>
      <c r="Q185" s="27"/>
      <c r="R185" s="20"/>
    </row>
    <row r="186" spans="1:38" ht="20.25" customHeight="1">
      <c r="A186" s="24">
        <v>96</v>
      </c>
      <c r="B186" s="23" t="s">
        <v>114</v>
      </c>
      <c r="C186" s="24" t="s">
        <v>18</v>
      </c>
      <c r="D186" s="23"/>
      <c r="E186" s="23" t="s">
        <v>41</v>
      </c>
      <c r="F186" s="23" t="s">
        <v>443</v>
      </c>
      <c r="G186" s="23" t="s">
        <v>142</v>
      </c>
      <c r="H186" s="25">
        <v>5</v>
      </c>
      <c r="I186" s="1">
        <v>1</v>
      </c>
      <c r="J186" s="26">
        <v>2</v>
      </c>
      <c r="K186" s="27">
        <f t="shared" si="6"/>
        <v>0</v>
      </c>
      <c r="L186" s="27"/>
      <c r="M186" s="27"/>
      <c r="N186" s="1">
        <v>1</v>
      </c>
      <c r="O186" s="27">
        <f t="shared" si="4"/>
        <v>7826.67</v>
      </c>
      <c r="P186" s="27">
        <v>7826.67</v>
      </c>
      <c r="Q186" s="27"/>
      <c r="R186" s="20"/>
    </row>
    <row r="187" spans="1:38" ht="16.899999999999999" customHeight="1">
      <c r="A187" s="24"/>
      <c r="B187" s="23" t="s">
        <v>141</v>
      </c>
      <c r="C187" s="24" t="s">
        <v>18</v>
      </c>
      <c r="D187" s="23"/>
      <c r="E187" s="23" t="s">
        <v>41</v>
      </c>
      <c r="F187" s="23" t="s">
        <v>368</v>
      </c>
      <c r="G187" s="23" t="s">
        <v>136</v>
      </c>
      <c r="H187" s="25">
        <v>6</v>
      </c>
      <c r="I187" s="2"/>
      <c r="J187" s="26"/>
      <c r="K187" s="27">
        <f t="shared" si="6"/>
        <v>0</v>
      </c>
      <c r="L187" s="27"/>
      <c r="M187" s="27"/>
      <c r="N187" s="2">
        <v>4</v>
      </c>
      <c r="O187" s="27">
        <f t="shared" si="4"/>
        <v>0</v>
      </c>
      <c r="P187" s="27"/>
      <c r="Q187" s="27"/>
      <c r="R187" s="20"/>
    </row>
    <row r="188" spans="1:38" ht="16.899999999999999" customHeight="1">
      <c r="A188" s="24">
        <v>97</v>
      </c>
      <c r="B188" s="23" t="s">
        <v>309</v>
      </c>
      <c r="C188" s="24" t="s">
        <v>18</v>
      </c>
      <c r="D188" s="23"/>
      <c r="E188" s="23" t="s">
        <v>19</v>
      </c>
      <c r="F188" s="23" t="s">
        <v>442</v>
      </c>
      <c r="G188" s="23" t="s">
        <v>142</v>
      </c>
      <c r="H188" s="25">
        <v>7</v>
      </c>
      <c r="I188" s="2">
        <v>7</v>
      </c>
      <c r="J188" s="26">
        <v>7</v>
      </c>
      <c r="K188" s="27"/>
      <c r="L188" s="27"/>
      <c r="M188" s="27"/>
      <c r="N188" s="2"/>
      <c r="O188" s="27"/>
      <c r="P188" s="27"/>
      <c r="Q188" s="27"/>
      <c r="R188" s="20"/>
    </row>
    <row r="189" spans="1:38" ht="16.899999999999999" customHeight="1">
      <c r="A189" s="24"/>
      <c r="B189" s="23" t="s">
        <v>309</v>
      </c>
      <c r="C189" s="24" t="s">
        <v>18</v>
      </c>
      <c r="D189" s="23"/>
      <c r="E189" s="23" t="s">
        <v>19</v>
      </c>
      <c r="F189" s="23" t="s">
        <v>343</v>
      </c>
      <c r="G189" s="23" t="s">
        <v>122</v>
      </c>
      <c r="H189" s="25">
        <v>6</v>
      </c>
      <c r="I189" s="2">
        <v>1</v>
      </c>
      <c r="J189" s="26">
        <v>1</v>
      </c>
      <c r="K189" s="27">
        <f t="shared" si="6"/>
        <v>0</v>
      </c>
      <c r="L189" s="27"/>
      <c r="M189" s="27"/>
      <c r="N189" s="2"/>
      <c r="O189" s="27">
        <f t="shared" si="4"/>
        <v>0</v>
      </c>
      <c r="P189" s="27"/>
      <c r="Q189" s="27"/>
      <c r="R189" s="20"/>
    </row>
    <row r="190" spans="1:38" ht="16.899999999999999" customHeight="1">
      <c r="A190" s="24"/>
      <c r="B190" s="23" t="s">
        <v>309</v>
      </c>
      <c r="C190" s="24" t="s">
        <v>18</v>
      </c>
      <c r="D190" s="23"/>
      <c r="E190" s="23" t="s">
        <v>19</v>
      </c>
      <c r="F190" s="23" t="s">
        <v>324</v>
      </c>
      <c r="G190" s="23" t="s">
        <v>124</v>
      </c>
      <c r="H190" s="25">
        <v>0</v>
      </c>
      <c r="I190" s="2"/>
      <c r="J190" s="26"/>
      <c r="K190" s="27">
        <f t="shared" si="6"/>
        <v>0</v>
      </c>
      <c r="L190" s="27"/>
      <c r="M190" s="27"/>
      <c r="N190" s="2"/>
      <c r="O190" s="27">
        <f t="shared" si="4"/>
        <v>0</v>
      </c>
      <c r="P190" s="27"/>
      <c r="Q190" s="27"/>
      <c r="R190" s="20"/>
    </row>
    <row r="191" spans="1:38" ht="24.6" customHeight="1">
      <c r="A191" s="29">
        <v>98</v>
      </c>
      <c r="B191" s="30" t="s">
        <v>115</v>
      </c>
      <c r="C191" s="29" t="s">
        <v>52</v>
      </c>
      <c r="D191" s="30" t="s">
        <v>110</v>
      </c>
      <c r="E191" s="30" t="s">
        <v>19</v>
      </c>
      <c r="F191" s="30"/>
      <c r="G191" s="30" t="s">
        <v>142</v>
      </c>
      <c r="H191" s="25">
        <v>0</v>
      </c>
      <c r="I191" s="1"/>
      <c r="J191" s="26"/>
      <c r="K191" s="27">
        <f t="shared" si="6"/>
        <v>0</v>
      </c>
      <c r="L191" s="27"/>
      <c r="M191" s="27"/>
      <c r="N191" s="1">
        <v>1</v>
      </c>
      <c r="O191" s="27">
        <f t="shared" ref="O191:O195" si="7">P191+Q191</f>
        <v>0</v>
      </c>
      <c r="P191" s="27"/>
      <c r="Q191" s="27"/>
      <c r="R191" s="20"/>
    </row>
    <row r="192" spans="1:38" ht="32.25" customHeight="1">
      <c r="A192" s="29"/>
      <c r="B192" s="30" t="s">
        <v>115</v>
      </c>
      <c r="C192" s="29" t="s">
        <v>52</v>
      </c>
      <c r="D192" s="30" t="s">
        <v>110</v>
      </c>
      <c r="E192" s="30" t="s">
        <v>19</v>
      </c>
      <c r="F192" s="30" t="s">
        <v>292</v>
      </c>
      <c r="G192" s="30" t="s">
        <v>122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>
        <v>1</v>
      </c>
      <c r="O192" s="27">
        <f t="shared" si="7"/>
        <v>0</v>
      </c>
      <c r="P192" s="27"/>
      <c r="Q192" s="27"/>
      <c r="R192" s="20"/>
    </row>
    <row r="193" spans="1:44" ht="34.9" customHeight="1">
      <c r="A193" s="29">
        <v>99</v>
      </c>
      <c r="B193" s="30" t="s">
        <v>116</v>
      </c>
      <c r="C193" s="29" t="s">
        <v>52</v>
      </c>
      <c r="D193" s="30" t="s">
        <v>117</v>
      </c>
      <c r="E193" s="30" t="s">
        <v>19</v>
      </c>
      <c r="F193" s="30" t="s">
        <v>444</v>
      </c>
      <c r="G193" s="30" t="s">
        <v>142</v>
      </c>
      <c r="H193" s="25">
        <v>24</v>
      </c>
      <c r="I193" s="1">
        <v>7</v>
      </c>
      <c r="J193" s="44">
        <v>7</v>
      </c>
      <c r="K193" s="27">
        <f t="shared" si="6"/>
        <v>16538.14</v>
      </c>
      <c r="L193" s="27">
        <v>16538.14</v>
      </c>
      <c r="M193" s="27"/>
      <c r="N193" s="1">
        <v>3</v>
      </c>
      <c r="O193" s="27">
        <f t="shared" si="7"/>
        <v>14077.71</v>
      </c>
      <c r="P193" s="27">
        <v>14077.71</v>
      </c>
      <c r="Q193" s="27"/>
      <c r="R193" s="20"/>
    </row>
    <row r="194" spans="1:44" ht="28.5" customHeight="1">
      <c r="A194" s="29">
        <v>100</v>
      </c>
      <c r="B194" s="30" t="s">
        <v>209</v>
      </c>
      <c r="C194" s="29" t="s">
        <v>18</v>
      </c>
      <c r="D194" s="30"/>
      <c r="E194" s="30" t="s">
        <v>19</v>
      </c>
      <c r="F194" s="30" t="s">
        <v>123</v>
      </c>
      <c r="G194" s="30" t="s">
        <v>142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/>
      <c r="O194" s="27">
        <f t="shared" si="7"/>
        <v>0</v>
      </c>
      <c r="P194" s="27"/>
      <c r="Q194" s="27"/>
      <c r="R194" s="20"/>
    </row>
    <row r="195" spans="1:44" ht="19.5" customHeight="1">
      <c r="A195" s="29">
        <v>101</v>
      </c>
      <c r="B195" s="30" t="s">
        <v>118</v>
      </c>
      <c r="C195" s="29" t="s">
        <v>18</v>
      </c>
      <c r="D195" s="30"/>
      <c r="E195" s="30" t="s">
        <v>41</v>
      </c>
      <c r="F195" s="30" t="s">
        <v>445</v>
      </c>
      <c r="G195" s="30" t="s">
        <v>142</v>
      </c>
      <c r="H195" s="25">
        <v>14</v>
      </c>
      <c r="I195" s="1">
        <v>6</v>
      </c>
      <c r="J195" s="44">
        <v>6</v>
      </c>
      <c r="K195" s="27">
        <f t="shared" si="6"/>
        <v>0</v>
      </c>
      <c r="L195" s="27"/>
      <c r="M195" s="27"/>
      <c r="N195" s="1">
        <v>21</v>
      </c>
      <c r="O195" s="27">
        <f t="shared" si="7"/>
        <v>0</v>
      </c>
      <c r="P195" s="27"/>
      <c r="Q195" s="27"/>
      <c r="R195" s="20"/>
    </row>
    <row r="196" spans="1:44" s="7" customFormat="1" ht="30.6" customHeight="1">
      <c r="A196" s="24"/>
      <c r="B196" s="23" t="s">
        <v>118</v>
      </c>
      <c r="C196" s="24" t="s">
        <v>18</v>
      </c>
      <c r="D196" s="23"/>
      <c r="E196" s="23" t="s">
        <v>41</v>
      </c>
      <c r="F196" s="23" t="s">
        <v>298</v>
      </c>
      <c r="G196" s="23" t="s">
        <v>124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>
        <v>1</v>
      </c>
      <c r="O196" s="27">
        <f>P196+Q196</f>
        <v>0</v>
      </c>
      <c r="P196" s="27"/>
      <c r="Q196" s="27"/>
      <c r="R196" s="20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</row>
    <row r="197" spans="1:44" s="14" customFormat="1" ht="27" customHeight="1">
      <c r="A197" s="24"/>
      <c r="B197" s="23" t="s">
        <v>118</v>
      </c>
      <c r="C197" s="24" t="s">
        <v>18</v>
      </c>
      <c r="D197" s="23"/>
      <c r="E197" s="23" t="s">
        <v>41</v>
      </c>
      <c r="F197" s="23" t="s">
        <v>123</v>
      </c>
      <c r="G197" s="23" t="s">
        <v>136</v>
      </c>
      <c r="H197" s="25">
        <v>0</v>
      </c>
      <c r="I197" s="2"/>
      <c r="J197" s="26"/>
      <c r="K197" s="27">
        <f t="shared" si="6"/>
        <v>0</v>
      </c>
      <c r="L197" s="27"/>
      <c r="M197" s="27"/>
      <c r="N197" s="2"/>
      <c r="O197" s="27">
        <f>P197+Q197</f>
        <v>0</v>
      </c>
      <c r="P197" s="27"/>
      <c r="Q197" s="27"/>
      <c r="R197" s="20"/>
      <c r="AM197" s="4"/>
      <c r="AN197" s="4"/>
      <c r="AO197" s="4"/>
      <c r="AP197" s="4"/>
      <c r="AQ197" s="4"/>
      <c r="AR197" s="4"/>
    </row>
    <row r="198" spans="1:44" s="14" customFormat="1" ht="27" customHeight="1">
      <c r="A198" s="46">
        <v>102</v>
      </c>
      <c r="B198" s="60" t="s">
        <v>119</v>
      </c>
      <c r="C198" s="46" t="s">
        <v>18</v>
      </c>
      <c r="D198" s="60"/>
      <c r="E198" s="60" t="s">
        <v>19</v>
      </c>
      <c r="F198" s="60" t="s">
        <v>120</v>
      </c>
      <c r="G198" s="60" t="s">
        <v>122</v>
      </c>
      <c r="H198" s="61">
        <v>0</v>
      </c>
      <c r="I198" s="32"/>
      <c r="J198" s="62"/>
      <c r="K198" s="27">
        <f t="shared" si="6"/>
        <v>0</v>
      </c>
      <c r="L198" s="63"/>
      <c r="M198" s="63"/>
      <c r="N198" s="32"/>
      <c r="O198" s="63">
        <v>0</v>
      </c>
      <c r="P198" s="63"/>
      <c r="Q198" s="63"/>
      <c r="R198" s="20"/>
      <c r="AM198" s="4"/>
      <c r="AN198" s="4"/>
      <c r="AO198" s="4"/>
      <c r="AP198" s="4"/>
      <c r="AQ198" s="4"/>
      <c r="AR198" s="4"/>
    </row>
    <row r="199" spans="1:44" s="14" customFormat="1" ht="27" customHeight="1">
      <c r="A199" s="46">
        <v>103</v>
      </c>
      <c r="B199" s="60" t="s">
        <v>325</v>
      </c>
      <c r="C199" s="46" t="s">
        <v>18</v>
      </c>
      <c r="D199" s="60"/>
      <c r="E199" s="60" t="s">
        <v>36</v>
      </c>
      <c r="F199" s="60" t="s">
        <v>446</v>
      </c>
      <c r="G199" s="60" t="s">
        <v>142</v>
      </c>
      <c r="H199" s="61">
        <v>6</v>
      </c>
      <c r="I199" s="32">
        <v>1</v>
      </c>
      <c r="J199" s="86">
        <v>1</v>
      </c>
      <c r="K199" s="27">
        <f t="shared" si="6"/>
        <v>0</v>
      </c>
      <c r="L199" s="63"/>
      <c r="M199" s="63"/>
      <c r="N199" s="32"/>
      <c r="O199" s="63">
        <v>0</v>
      </c>
      <c r="P199" s="63"/>
      <c r="Q199" s="63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/>
      <c r="B200" s="23" t="s">
        <v>325</v>
      </c>
      <c r="C200" s="24" t="s">
        <v>18</v>
      </c>
      <c r="D200" s="23"/>
      <c r="E200" s="23" t="s">
        <v>36</v>
      </c>
      <c r="F200" s="23" t="s">
        <v>369</v>
      </c>
      <c r="G200" s="23" t="s">
        <v>124</v>
      </c>
      <c r="H200" s="25">
        <v>0</v>
      </c>
      <c r="I200" s="2"/>
      <c r="J200" s="26"/>
      <c r="K200" s="27">
        <f t="shared" si="6"/>
        <v>0</v>
      </c>
      <c r="L200" s="27"/>
      <c r="M200" s="27"/>
      <c r="N200" s="2"/>
      <c r="O200" s="27">
        <v>0</v>
      </c>
      <c r="P200" s="27"/>
      <c r="Q200" s="27"/>
      <c r="R200" s="20"/>
      <c r="AM200" s="4"/>
      <c r="AN200" s="4"/>
      <c r="AO200" s="4"/>
      <c r="AP200" s="4"/>
      <c r="AQ200" s="4"/>
      <c r="AR200" s="4"/>
    </row>
    <row r="201" spans="1:44" s="14" customFormat="1" ht="18.75" customHeight="1" thickBot="1">
      <c r="A201" s="47"/>
      <c r="B201" s="48" t="s">
        <v>325</v>
      </c>
      <c r="C201" s="49" t="s">
        <v>18</v>
      </c>
      <c r="D201" s="48"/>
      <c r="E201" s="48" t="s">
        <v>370</v>
      </c>
      <c r="F201" s="48" t="s">
        <v>371</v>
      </c>
      <c r="G201" s="48" t="s">
        <v>136</v>
      </c>
      <c r="H201" s="50">
        <v>1</v>
      </c>
      <c r="I201" s="33"/>
      <c r="J201" s="51"/>
      <c r="K201" s="34">
        <f t="shared" si="6"/>
        <v>0</v>
      </c>
      <c r="L201" s="52"/>
      <c r="M201" s="52"/>
      <c r="N201" s="33"/>
      <c r="O201" s="52">
        <f>P201+Q201</f>
        <v>0</v>
      </c>
      <c r="P201" s="52"/>
      <c r="Q201" s="52"/>
      <c r="R201" s="20"/>
      <c r="AM201" s="4"/>
      <c r="AN201" s="4"/>
      <c r="AO201" s="4"/>
      <c r="AP201" s="4"/>
      <c r="AQ201" s="4"/>
      <c r="AR201" s="4"/>
    </row>
    <row r="202" spans="1:44" s="14" customFormat="1" ht="16.5" customHeight="1">
      <c r="A202" s="87" t="s">
        <v>145</v>
      </c>
      <c r="B202" s="87"/>
      <c r="C202" s="88"/>
      <c r="D202" s="89"/>
      <c r="E202" s="89"/>
      <c r="F202" s="89"/>
      <c r="G202" s="89"/>
      <c r="H202" s="88">
        <f>SUM(H10:H201)</f>
        <v>1149</v>
      </c>
      <c r="I202" s="88">
        <f>SUM(I10:I201)</f>
        <v>375</v>
      </c>
      <c r="J202" s="88">
        <f>SUM(J10:J201)</f>
        <v>386</v>
      </c>
      <c r="K202" s="90">
        <f>SUM(K10:K201)</f>
        <v>16538.14</v>
      </c>
      <c r="L202" s="90">
        <f t="shared" ref="L202:Q202" si="8">SUM(L10:L201)</f>
        <v>16538.14</v>
      </c>
      <c r="M202" s="88">
        <f t="shared" si="8"/>
        <v>0</v>
      </c>
      <c r="N202" s="88">
        <f t="shared" si="8"/>
        <v>651</v>
      </c>
      <c r="O202" s="90">
        <f>SUM(O10:O201)</f>
        <v>346591.66999999993</v>
      </c>
      <c r="P202" s="90">
        <f>SUM(P10:P201)</f>
        <v>346591.66999999993</v>
      </c>
      <c r="Q202" s="88">
        <f t="shared" si="8"/>
        <v>0</v>
      </c>
      <c r="R202" s="20"/>
      <c r="AM202" s="4"/>
      <c r="AN202" s="4"/>
      <c r="AO202" s="4"/>
      <c r="AP202" s="4"/>
      <c r="AQ202" s="4"/>
      <c r="AR202" s="4"/>
    </row>
    <row r="203" spans="1:44" s="14" customFormat="1" ht="15" customHeight="1">
      <c r="A203" s="5"/>
      <c r="B203" s="6"/>
      <c r="C203" s="5"/>
      <c r="D203" s="6"/>
      <c r="E203" s="6"/>
      <c r="F203" s="6"/>
      <c r="G203" s="6"/>
      <c r="H203" s="9"/>
      <c r="I203" s="9"/>
      <c r="J203" s="9"/>
      <c r="K203" s="9"/>
      <c r="L203" s="9"/>
      <c r="M203" s="11"/>
      <c r="N203" s="9"/>
      <c r="O203" s="9"/>
      <c r="P203" s="5"/>
      <c r="Q203" s="13"/>
      <c r="R203" s="20"/>
      <c r="AM203" s="4"/>
      <c r="AN203" s="4"/>
      <c r="AO203" s="4"/>
      <c r="AP203" s="4"/>
      <c r="AQ203" s="4"/>
      <c r="AR203" s="4"/>
    </row>
    <row r="204" spans="1:44" s="14" customForma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12"/>
      <c r="N204" s="4"/>
      <c r="O204" s="4"/>
      <c r="P204" s="4"/>
      <c r="Q204" s="12"/>
      <c r="R204" s="20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15"/>
      <c r="M205" s="19"/>
      <c r="N205" s="4"/>
      <c r="O205" s="4"/>
      <c r="P205" s="4"/>
      <c r="Q205" s="12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2"/>
      <c r="N206" s="15"/>
      <c r="O206" s="15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15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4"/>
      <c r="O208" s="4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15"/>
      <c r="M210" s="12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7" spans="1:44" s="12" customForma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15"/>
      <c r="N217" s="4"/>
      <c r="O217" s="4"/>
      <c r="P217" s="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4"/>
      <c r="AN217" s="4"/>
      <c r="AO217" s="4"/>
      <c r="AP217" s="4"/>
      <c r="AQ217" s="4"/>
      <c r="AR217" s="4"/>
    </row>
  </sheetData>
  <mergeCells count="8">
    <mergeCell ref="A202:B202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R217"/>
  <sheetViews>
    <sheetView topLeftCell="A188" zoomScale="75" zoomScaleNormal="75" workbookViewId="0">
      <selection activeCell="B215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11</v>
      </c>
      <c r="I11" s="1">
        <v>4</v>
      </c>
      <c r="J11" s="26">
        <v>4</v>
      </c>
      <c r="K11" s="27">
        <f t="shared" ref="K11:K85" si="2">L11+M11</f>
        <v>0</v>
      </c>
      <c r="L11" s="27"/>
      <c r="M11" s="27"/>
      <c r="N11" s="1">
        <v>13</v>
      </c>
      <c r="O11" s="27">
        <f t="shared" si="1"/>
        <v>4669.3</v>
      </c>
      <c r="P11" s="27">
        <v>4669.3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</v>
      </c>
      <c r="I12" s="1"/>
      <c r="J12" s="26"/>
      <c r="K12" s="27">
        <f t="shared" si="2"/>
        <v>0</v>
      </c>
      <c r="L12" s="27"/>
      <c r="M12" s="27"/>
      <c r="N12" s="1">
        <v>2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>
        <v>2</v>
      </c>
      <c r="J14" s="26">
        <v>3</v>
      </c>
      <c r="K14" s="27">
        <f t="shared" si="2"/>
        <v>0</v>
      </c>
      <c r="L14" s="27"/>
      <c r="M14" s="27"/>
      <c r="N14" s="1">
        <v>12</v>
      </c>
      <c r="O14" s="27">
        <f t="shared" si="1"/>
        <v>13242.79</v>
      </c>
      <c r="P14" s="27">
        <f>6380.54+898.62+5963.63</f>
        <v>13242.79</v>
      </c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12</v>
      </c>
      <c r="I15" s="2">
        <v>8</v>
      </c>
      <c r="J15" s="26">
        <v>8</v>
      </c>
      <c r="K15" s="27">
        <f t="shared" si="2"/>
        <v>0</v>
      </c>
      <c r="L15" s="27"/>
      <c r="M15" s="27"/>
      <c r="N15" s="2">
        <v>11</v>
      </c>
      <c r="O15" s="27">
        <f t="shared" si="1"/>
        <v>6836.7</v>
      </c>
      <c r="P15" s="27">
        <v>6836.7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23</v>
      </c>
      <c r="I16" s="1">
        <v>17</v>
      </c>
      <c r="J16" s="26">
        <v>19</v>
      </c>
      <c r="K16" s="27">
        <f t="shared" si="2"/>
        <v>0</v>
      </c>
      <c r="L16" s="27"/>
      <c r="M16" s="27"/>
      <c r="N16" s="1">
        <v>18</v>
      </c>
      <c r="O16" s="27">
        <f t="shared" si="1"/>
        <v>28576.01</v>
      </c>
      <c r="P16" s="27">
        <f>9373.48+1765.32+2881.47+14555.74</f>
        <v>28576.01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20</v>
      </c>
      <c r="I20" s="1">
        <v>10</v>
      </c>
      <c r="J20" s="26">
        <v>10</v>
      </c>
      <c r="K20" s="27">
        <f t="shared" si="2"/>
        <v>0</v>
      </c>
      <c r="L20" s="27"/>
      <c r="M20" s="27"/>
      <c r="N20" s="1">
        <v>15</v>
      </c>
      <c r="O20" s="27">
        <f t="shared" si="1"/>
        <v>16199.25</v>
      </c>
      <c r="P20" s="27">
        <f>4072.37+2831.63+9295.25</f>
        <v>16199.25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3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2629.92</v>
      </c>
      <c r="Q22" s="27">
        <v>894.07999999999993</v>
      </c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6214.38</v>
      </c>
      <c r="P23" s="27">
        <f>488+2791.37+2935.01</f>
        <v>6214.38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7</v>
      </c>
      <c r="I26" s="1">
        <v>5</v>
      </c>
      <c r="J26" s="44">
        <v>5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3364.54</v>
      </c>
      <c r="P27" s="27">
        <v>3364.54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13</v>
      </c>
      <c r="I29" s="1">
        <v>2</v>
      </c>
      <c r="J29" s="26">
        <v>2</v>
      </c>
      <c r="K29" s="27">
        <f t="shared" si="2"/>
        <v>0</v>
      </c>
      <c r="L29" s="27"/>
      <c r="M29" s="27"/>
      <c r="N29" s="1">
        <v>3</v>
      </c>
      <c r="O29" s="27">
        <f t="shared" si="1"/>
        <v>11735.84</v>
      </c>
      <c r="P29" s="27">
        <f>1585.49+7579.12+718.9+1852.33</f>
        <v>11735.84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7</v>
      </c>
      <c r="J32" s="26">
        <v>8</v>
      </c>
      <c r="K32" s="27">
        <f t="shared" si="2"/>
        <v>0</v>
      </c>
      <c r="L32" s="27"/>
      <c r="M32" s="27"/>
      <c r="N32" s="1">
        <v>7</v>
      </c>
      <c r="O32" s="27">
        <f t="shared" si="1"/>
        <v>26399.21</v>
      </c>
      <c r="P32" s="27">
        <f>8353.67+11335.86+6709.68</f>
        <v>26399.21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3</v>
      </c>
      <c r="I33" s="2"/>
      <c r="J33" s="26"/>
      <c r="K33" s="27">
        <f t="shared" si="2"/>
        <v>0</v>
      </c>
      <c r="L33" s="27"/>
      <c r="M33" s="27"/>
      <c r="N33" s="2">
        <v>3</v>
      </c>
      <c r="O33" s="27">
        <f t="shared" si="1"/>
        <v>2995.4</v>
      </c>
      <c r="P33" s="27">
        <v>881</v>
      </c>
      <c r="Q33" s="27">
        <v>2114.4</v>
      </c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5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0</v>
      </c>
      <c r="P35" s="27"/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5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7284.47</v>
      </c>
      <c r="P36" s="27">
        <f>7284.47</f>
        <v>7284.47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7</v>
      </c>
      <c r="I37" s="2"/>
      <c r="J37" s="26"/>
      <c r="K37" s="27">
        <f t="shared" si="2"/>
        <v>0</v>
      </c>
      <c r="L37" s="27"/>
      <c r="M37" s="27"/>
      <c r="N37" s="2">
        <v>5</v>
      </c>
      <c r="O37" s="27">
        <f t="shared" si="1"/>
        <v>0</v>
      </c>
      <c r="P37" s="27"/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10</v>
      </c>
      <c r="I38" s="1">
        <v>6</v>
      </c>
      <c r="J38" s="26">
        <v>6</v>
      </c>
      <c r="K38" s="27">
        <f t="shared" si="2"/>
        <v>0</v>
      </c>
      <c r="L38" s="27"/>
      <c r="M38" s="27"/>
      <c r="N38" s="1">
        <v>10</v>
      </c>
      <c r="O38" s="27">
        <f t="shared" si="1"/>
        <v>15812.21</v>
      </c>
      <c r="P38" s="27">
        <f>984.25+2870.5+11957.46</f>
        <v>15812.21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10</v>
      </c>
      <c r="I39" s="2">
        <v>3</v>
      </c>
      <c r="J39" s="26">
        <v>3</v>
      </c>
      <c r="K39" s="27">
        <f t="shared" si="2"/>
        <v>0</v>
      </c>
      <c r="L39" s="27"/>
      <c r="M39" s="27"/>
      <c r="N39" s="2">
        <v>6</v>
      </c>
      <c r="O39" s="27">
        <f t="shared" si="1"/>
        <v>0</v>
      </c>
      <c r="P39" s="27"/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5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9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958.09</v>
      </c>
      <c r="P44" s="27">
        <v>958.09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4</v>
      </c>
      <c r="I45" s="1"/>
      <c r="J45" s="26"/>
      <c r="K45" s="27">
        <f t="shared" si="2"/>
        <v>0</v>
      </c>
      <c r="L45" s="27"/>
      <c r="M45" s="27"/>
      <c r="N45" s="1">
        <v>3</v>
      </c>
      <c r="O45" s="27">
        <f t="shared" si="1"/>
        <v>0</v>
      </c>
      <c r="P45" s="27"/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7</v>
      </c>
      <c r="I48" s="1">
        <v>7</v>
      </c>
      <c r="J48" s="26">
        <v>7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4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12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11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6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5</v>
      </c>
      <c r="I56" s="2"/>
      <c r="J56" s="26"/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9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15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18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9133</v>
      </c>
      <c r="P60" s="27">
        <f>2817.33+2170.4+4145.27</f>
        <v>9133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15</v>
      </c>
      <c r="I61" s="1">
        <v>9</v>
      </c>
      <c r="J61" s="26">
        <v>9</v>
      </c>
      <c r="K61" s="27">
        <f t="shared" si="2"/>
        <v>0</v>
      </c>
      <c r="L61" s="27"/>
      <c r="M61" s="27"/>
      <c r="N61" s="1">
        <v>10</v>
      </c>
      <c r="O61" s="27">
        <f t="shared" si="1"/>
        <v>10101.32</v>
      </c>
      <c r="P61" s="27">
        <f>3558.78+6542.54</f>
        <v>10101.32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1</v>
      </c>
      <c r="J62" s="26">
        <v>1</v>
      </c>
      <c r="K62" s="27">
        <f t="shared" si="2"/>
        <v>0</v>
      </c>
      <c r="L62" s="27"/>
      <c r="M62" s="27"/>
      <c r="N62" s="1">
        <v>5</v>
      </c>
      <c r="O62" s="27">
        <f t="shared" si="1"/>
        <v>1585.8</v>
      </c>
      <c r="P62" s="27">
        <v>1585.8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7</v>
      </c>
      <c r="I63" s="1">
        <v>2</v>
      </c>
      <c r="J63" s="26">
        <v>2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12</v>
      </c>
      <c r="I64" s="1">
        <v>1</v>
      </c>
      <c r="J64" s="26">
        <v>1</v>
      </c>
      <c r="K64" s="27">
        <f t="shared" si="2"/>
        <v>0</v>
      </c>
      <c r="L64" s="27"/>
      <c r="M64" s="27"/>
      <c r="N64" s="1">
        <v>7</v>
      </c>
      <c r="O64" s="27">
        <f t="shared" si="1"/>
        <v>5902.7</v>
      </c>
      <c r="P64" s="27">
        <v>5902.7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7</v>
      </c>
      <c r="I65" s="1"/>
      <c r="J65" s="26"/>
      <c r="K65" s="27">
        <f t="shared" si="2"/>
        <v>0</v>
      </c>
      <c r="L65" s="27"/>
      <c r="M65" s="27"/>
      <c r="N65" s="1">
        <v>4</v>
      </c>
      <c r="O65" s="27">
        <f t="shared" si="1"/>
        <v>3405.96</v>
      </c>
      <c r="P65" s="27">
        <f>1487.48+1918.48</f>
        <v>3405.96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0</v>
      </c>
      <c r="P67" s="27"/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8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14</v>
      </c>
      <c r="I70" s="2">
        <v>4</v>
      </c>
      <c r="J70" s="26">
        <v>4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14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15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6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2242.5</v>
      </c>
      <c r="P75" s="27">
        <v>2242.5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9</v>
      </c>
      <c r="I77" s="1">
        <v>4</v>
      </c>
      <c r="J77" s="26">
        <v>4</v>
      </c>
      <c r="K77" s="27">
        <f t="shared" si="2"/>
        <v>0</v>
      </c>
      <c r="L77" s="27"/>
      <c r="M77" s="27"/>
      <c r="N77" s="1">
        <v>15</v>
      </c>
      <c r="O77" s="27">
        <f t="shared" si="1"/>
        <v>18864.05</v>
      </c>
      <c r="P77" s="27">
        <f>5457.7+9775.17+3631.18</f>
        <v>18864.05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7</v>
      </c>
      <c r="I78" s="2"/>
      <c r="J78" s="26"/>
      <c r="K78" s="27">
        <f t="shared" si="2"/>
        <v>0</v>
      </c>
      <c r="L78" s="27"/>
      <c r="M78" s="27"/>
      <c r="N78" s="2">
        <v>10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2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3</v>
      </c>
      <c r="I80" s="1"/>
      <c r="J80" s="26"/>
      <c r="K80" s="27">
        <f t="shared" si="2"/>
        <v>0</v>
      </c>
      <c r="L80" s="27"/>
      <c r="M80" s="27"/>
      <c r="N80" s="1">
        <v>8</v>
      </c>
      <c r="O80" s="27">
        <f t="shared" si="1"/>
        <v>1497.7</v>
      </c>
      <c r="P80" s="27">
        <v>1497.7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268</v>
      </c>
      <c r="G81" s="23" t="s">
        <v>142</v>
      </c>
      <c r="H81" s="25">
        <v>0</v>
      </c>
      <c r="I81" s="1"/>
      <c r="J81" s="26"/>
      <c r="K81" s="27"/>
      <c r="L81" s="27"/>
      <c r="M81" s="27"/>
      <c r="N81" s="1"/>
      <c r="O81" s="27"/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5</v>
      </c>
      <c r="I82" s="1"/>
      <c r="J82" s="26"/>
      <c r="K82" s="27"/>
      <c r="L82" s="27"/>
      <c r="M82" s="27"/>
      <c r="N82" s="1"/>
      <c r="O82" s="27"/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32</v>
      </c>
      <c r="I83" s="1">
        <v>13</v>
      </c>
      <c r="J83" s="26">
        <v>13</v>
      </c>
      <c r="K83" s="27">
        <f t="shared" si="2"/>
        <v>0</v>
      </c>
      <c r="L83" s="27"/>
      <c r="M83" s="27"/>
      <c r="N83" s="1">
        <v>1</v>
      </c>
      <c r="O83" s="27">
        <f t="shared" si="1"/>
        <v>6215.87</v>
      </c>
      <c r="P83" s="27">
        <v>6215.87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9</v>
      </c>
      <c r="I84" s="1"/>
      <c r="J84" s="26"/>
      <c r="K84" s="27">
        <f t="shared" si="2"/>
        <v>0</v>
      </c>
      <c r="L84" s="27"/>
      <c r="M84" s="27"/>
      <c r="N84" s="1">
        <v>9</v>
      </c>
      <c r="O84" s="27">
        <f t="shared" si="1"/>
        <v>477.41</v>
      </c>
      <c r="P84" s="27">
        <v>477.41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19</v>
      </c>
      <c r="I86" s="1">
        <v>16</v>
      </c>
      <c r="J86" s="26">
        <v>16</v>
      </c>
      <c r="K86" s="27">
        <f t="shared" ref="K86:K154" si="3">L86+M86</f>
        <v>0</v>
      </c>
      <c r="L86" s="27"/>
      <c r="M86" s="27"/>
      <c r="N86" s="1">
        <v>9</v>
      </c>
      <c r="O86" s="27">
        <f t="shared" si="1"/>
        <v>12540.810000000001</v>
      </c>
      <c r="P86" s="27">
        <f>1369.13+3431.04+7740.64</f>
        <v>12540.810000000001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5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10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10</v>
      </c>
      <c r="I92" s="2">
        <v>1</v>
      </c>
      <c r="J92" s="26">
        <v>1</v>
      </c>
      <c r="K92" s="27">
        <f t="shared" si="3"/>
        <v>0</v>
      </c>
      <c r="L92" s="27"/>
      <c r="M92" s="27"/>
      <c r="N92" s="2">
        <v>14</v>
      </c>
      <c r="O92" s="27">
        <f t="shared" si="1"/>
        <v>0</v>
      </c>
      <c r="P92" s="27"/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0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7</v>
      </c>
      <c r="I95" s="1">
        <v>4</v>
      </c>
      <c r="J95" s="26">
        <v>4</v>
      </c>
      <c r="K95" s="27">
        <f t="shared" si="3"/>
        <v>0</v>
      </c>
      <c r="L95" s="27"/>
      <c r="M95" s="27"/>
      <c r="N95" s="1">
        <v>4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14</v>
      </c>
      <c r="I101" s="1">
        <v>7</v>
      </c>
      <c r="J101" s="26">
        <v>7</v>
      </c>
      <c r="K101" s="27">
        <f t="shared" si="3"/>
        <v>0</v>
      </c>
      <c r="L101" s="27"/>
      <c r="M101" s="27"/>
      <c r="N101" s="1">
        <v>8</v>
      </c>
      <c r="O101" s="27">
        <f t="shared" si="4"/>
        <v>12594.32</v>
      </c>
      <c r="P101" s="27">
        <f>8926.48+3667.84</f>
        <v>12594.32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7</v>
      </c>
      <c r="I102" s="1">
        <v>3</v>
      </c>
      <c r="J102" s="26">
        <v>3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10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9</v>
      </c>
      <c r="I105" s="1">
        <v>5</v>
      </c>
      <c r="J105" s="26">
        <v>5</v>
      </c>
      <c r="K105" s="27">
        <f t="shared" si="3"/>
        <v>0</v>
      </c>
      <c r="L105" s="27"/>
      <c r="M105" s="27"/>
      <c r="N105" s="1">
        <v>17</v>
      </c>
      <c r="O105" s="27">
        <f>P105+Q105</f>
        <v>25135.54</v>
      </c>
      <c r="P105" s="27">
        <f>7142.66+6007.6+11985.28</f>
        <v>25135.54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4</v>
      </c>
      <c r="I106" s="1"/>
      <c r="J106" s="26"/>
      <c r="K106" s="27">
        <f t="shared" si="3"/>
        <v>0</v>
      </c>
      <c r="L106" s="27"/>
      <c r="M106" s="27"/>
      <c r="N106" s="1">
        <v>5</v>
      </c>
      <c r="O106" s="27">
        <f>P106+Q106</f>
        <v>3171.6</v>
      </c>
      <c r="P106" s="27">
        <v>3171.6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7</v>
      </c>
      <c r="I107" s="2"/>
      <c r="J107" s="26"/>
      <c r="K107" s="27">
        <f t="shared" si="3"/>
        <v>0</v>
      </c>
      <c r="L107" s="27"/>
      <c r="M107" s="27"/>
      <c r="N107" s="2">
        <v>20</v>
      </c>
      <c r="O107" s="27">
        <f>P107+Q107</f>
        <v>39612.51</v>
      </c>
      <c r="P107" s="35">
        <v>39612.51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6</v>
      </c>
      <c r="I109" s="2"/>
      <c r="J109" s="26"/>
      <c r="K109" s="27">
        <f t="shared" si="3"/>
        <v>0</v>
      </c>
      <c r="L109" s="27"/>
      <c r="M109" s="27"/>
      <c r="N109" s="2">
        <v>2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3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8</v>
      </c>
      <c r="I111" s="2">
        <v>4</v>
      </c>
      <c r="J111" s="26">
        <v>4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7</v>
      </c>
      <c r="I112" s="2"/>
      <c r="J112" s="26"/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5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16</v>
      </c>
      <c r="I114" s="1">
        <v>15</v>
      </c>
      <c r="J114" s="26">
        <v>15</v>
      </c>
      <c r="K114" s="27">
        <f t="shared" si="3"/>
        <v>0</v>
      </c>
      <c r="L114" s="27"/>
      <c r="M114" s="27"/>
      <c r="N114" s="1">
        <v>5</v>
      </c>
      <c r="O114" s="27">
        <f t="shared" si="4"/>
        <v>19052.240000000002</v>
      </c>
      <c r="P114" s="27">
        <f>3646.63+15405.61</f>
        <v>19052.240000000002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15</v>
      </c>
      <c r="I118" s="1">
        <v>9</v>
      </c>
      <c r="J118" s="26">
        <v>10</v>
      </c>
      <c r="K118" s="27">
        <f t="shared" si="3"/>
        <v>0</v>
      </c>
      <c r="L118" s="27"/>
      <c r="M118" s="27"/>
      <c r="N118" s="1">
        <v>6</v>
      </c>
      <c r="O118" s="27">
        <f t="shared" si="4"/>
        <v>3333.95</v>
      </c>
      <c r="P118" s="27">
        <v>3333.95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10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4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5</v>
      </c>
      <c r="I124" s="1"/>
      <c r="J124" s="26"/>
      <c r="K124" s="27">
        <f t="shared" si="3"/>
        <v>0</v>
      </c>
      <c r="L124" s="27"/>
      <c r="M124" s="27"/>
      <c r="N124" s="1">
        <v>4</v>
      </c>
      <c r="O124" s="27">
        <f t="shared" si="4"/>
        <v>5739.96</v>
      </c>
      <c r="P124" s="27">
        <f>2479.17+3260.79</f>
        <v>5739.96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1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0</v>
      </c>
      <c r="P125" s="27"/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11</v>
      </c>
      <c r="I126" s="1">
        <v>10</v>
      </c>
      <c r="J126" s="26">
        <v>10</v>
      </c>
      <c r="K126" s="27">
        <f t="shared" si="3"/>
        <v>0</v>
      </c>
      <c r="L126" s="27"/>
      <c r="M126" s="27"/>
      <c r="N126" s="1">
        <v>7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2</v>
      </c>
      <c r="O127" s="27">
        <f t="shared" si="4"/>
        <v>0</v>
      </c>
      <c r="P127" s="27"/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34</v>
      </c>
      <c r="I128" s="1">
        <v>29</v>
      </c>
      <c r="J128" s="26">
        <v>29</v>
      </c>
      <c r="K128" s="27">
        <f t="shared" si="3"/>
        <v>0</v>
      </c>
      <c r="L128" s="27"/>
      <c r="M128" s="27"/>
      <c r="N128" s="1">
        <v>11</v>
      </c>
      <c r="O128" s="27">
        <f t="shared" si="4"/>
        <v>11436.490000000002</v>
      </c>
      <c r="P128" s="27">
        <f>4741.68+6694.81</f>
        <v>11436.490000000002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8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15</v>
      </c>
      <c r="I130" s="1">
        <v>11</v>
      </c>
      <c r="J130" s="26">
        <v>11</v>
      </c>
      <c r="K130" s="27">
        <f t="shared" si="3"/>
        <v>0</v>
      </c>
      <c r="L130" s="27"/>
      <c r="M130" s="27"/>
      <c r="N130" s="1">
        <v>9</v>
      </c>
      <c r="O130" s="27">
        <f t="shared" si="4"/>
        <v>12289.49</v>
      </c>
      <c r="P130" s="27">
        <f>919.46+2791.44+2825.9+1143.1+4609.59</f>
        <v>12289.49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16</v>
      </c>
      <c r="I132" s="1">
        <v>5</v>
      </c>
      <c r="J132" s="26">
        <v>5</v>
      </c>
      <c r="K132" s="27">
        <f t="shared" si="3"/>
        <v>0</v>
      </c>
      <c r="L132" s="27"/>
      <c r="M132" s="27"/>
      <c r="N132" s="1">
        <v>14</v>
      </c>
      <c r="O132" s="27">
        <f t="shared" si="4"/>
        <v>18168.28</v>
      </c>
      <c r="P132" s="27">
        <f>6606.63+11561.65</f>
        <v>18168.28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26</v>
      </c>
      <c r="I133" s="1">
        <v>2</v>
      </c>
      <c r="J133" s="26">
        <v>2</v>
      </c>
      <c r="K133" s="27">
        <f t="shared" si="3"/>
        <v>0</v>
      </c>
      <c r="L133" s="27"/>
      <c r="M133" s="27"/>
      <c r="N133" s="1">
        <v>5</v>
      </c>
      <c r="O133" s="27">
        <f t="shared" si="4"/>
        <v>925.06</v>
      </c>
      <c r="P133" s="27">
        <v>925.06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14</v>
      </c>
      <c r="I134" s="1">
        <v>3</v>
      </c>
      <c r="J134" s="26">
        <v>3</v>
      </c>
      <c r="K134" s="27">
        <f t="shared" si="3"/>
        <v>0</v>
      </c>
      <c r="L134" s="27"/>
      <c r="M134" s="27"/>
      <c r="N134" s="1">
        <v>8</v>
      </c>
      <c r="O134" s="27">
        <f t="shared" si="4"/>
        <v>20511.48</v>
      </c>
      <c r="P134" s="27">
        <f>1359.87+2464.36+5364.57+11322.68</f>
        <v>20511.48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1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13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440.5</v>
      </c>
      <c r="P137" s="27">
        <v>440.5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6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7</v>
      </c>
      <c r="O138" s="27">
        <f t="shared" si="4"/>
        <v>4178.6100000000006</v>
      </c>
      <c r="P138" s="27">
        <f>1217+2961.61</f>
        <v>4178.6100000000006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2</v>
      </c>
      <c r="I139" s="1"/>
      <c r="J139" s="26"/>
      <c r="K139" s="27">
        <f t="shared" si="3"/>
        <v>0</v>
      </c>
      <c r="L139" s="27"/>
      <c r="M139" s="27"/>
      <c r="N139" s="1">
        <v>1</v>
      </c>
      <c r="O139" s="27">
        <f t="shared" si="4"/>
        <v>0</v>
      </c>
      <c r="P139" s="27"/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6</v>
      </c>
      <c r="I140" s="1">
        <v>4</v>
      </c>
      <c r="J140" s="26">
        <v>4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</v>
      </c>
      <c r="I141" s="1"/>
      <c r="J141" s="26"/>
      <c r="K141" s="27">
        <f t="shared" si="3"/>
        <v>0</v>
      </c>
      <c r="L141" s="27"/>
      <c r="M141" s="27"/>
      <c r="N141" s="1">
        <v>15</v>
      </c>
      <c r="O141" s="27">
        <f t="shared" si="4"/>
        <v>0</v>
      </c>
      <c r="P141" s="27"/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4</v>
      </c>
      <c r="O142" s="27">
        <f t="shared" si="4"/>
        <v>0</v>
      </c>
      <c r="P142" s="27"/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2431.56</v>
      </c>
      <c r="P143" s="27">
        <f>2431.56</f>
        <v>2431.56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6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6</v>
      </c>
      <c r="I146" s="1">
        <v>4</v>
      </c>
      <c r="J146" s="26">
        <v>4</v>
      </c>
      <c r="K146" s="27">
        <f t="shared" si="3"/>
        <v>0</v>
      </c>
      <c r="L146" s="27"/>
      <c r="M146" s="27"/>
      <c r="N146" s="1">
        <v>1</v>
      </c>
      <c r="O146" s="27">
        <f t="shared" si="4"/>
        <v>0</v>
      </c>
      <c r="P146" s="27"/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1797.24</v>
      </c>
      <c r="P147" s="27">
        <v>1797.24</v>
      </c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14</v>
      </c>
      <c r="I148" s="1"/>
      <c r="J148" s="26"/>
      <c r="K148" s="27">
        <f t="shared" si="3"/>
        <v>0</v>
      </c>
      <c r="L148" s="27"/>
      <c r="M148" s="27"/>
      <c r="N148" s="1">
        <v>2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20</v>
      </c>
      <c r="I149" s="1">
        <v>7</v>
      </c>
      <c r="J149" s="26">
        <v>11</v>
      </c>
      <c r="K149" s="27">
        <f t="shared" si="3"/>
        <v>0</v>
      </c>
      <c r="L149" s="27"/>
      <c r="M149" s="27"/>
      <c r="N149" s="1">
        <v>7</v>
      </c>
      <c r="O149" s="27">
        <f t="shared" si="4"/>
        <v>5675.37</v>
      </c>
      <c r="P149" s="27">
        <v>5675.37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4</v>
      </c>
      <c r="I150" s="1"/>
      <c r="J150" s="26"/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5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1639.99</v>
      </c>
      <c r="P152" s="27">
        <v>1639.99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8</v>
      </c>
      <c r="I154" s="1"/>
      <c r="J154" s="26"/>
      <c r="K154" s="27">
        <f t="shared" si="3"/>
        <v>0</v>
      </c>
      <c r="L154" s="27"/>
      <c r="M154" s="27"/>
      <c r="N154" s="1">
        <v>2</v>
      </c>
      <c r="O154" s="27">
        <f t="shared" si="4"/>
        <v>0</v>
      </c>
      <c r="P154" s="27"/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4</v>
      </c>
      <c r="I155" s="1"/>
      <c r="J155" s="26"/>
      <c r="K155" s="27">
        <f t="shared" ref="K155:K201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10</v>
      </c>
      <c r="I157" s="1">
        <v>9</v>
      </c>
      <c r="J157" s="26">
        <v>10</v>
      </c>
      <c r="K157" s="27">
        <f t="shared" si="6"/>
        <v>0</v>
      </c>
      <c r="L157" s="27"/>
      <c r="M157" s="27"/>
      <c r="N157" s="1">
        <v>6</v>
      </c>
      <c r="O157" s="27">
        <f t="shared" si="4"/>
        <v>7470.42</v>
      </c>
      <c r="P157" s="27">
        <f>887.45+1225.31+5357.66</f>
        <v>7470.42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5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7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24">
        <v>83</v>
      </c>
      <c r="B165" s="23" t="s">
        <v>302</v>
      </c>
      <c r="C165" s="24" t="s">
        <v>18</v>
      </c>
      <c r="D165" s="23"/>
      <c r="E165" s="23" t="s">
        <v>19</v>
      </c>
      <c r="F165" s="23" t="s">
        <v>348</v>
      </c>
      <c r="G165" s="23" t="s">
        <v>122</v>
      </c>
      <c r="H165" s="25">
        <v>10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31"/>
    </row>
    <row r="166" spans="1:18" ht="15" customHeight="1">
      <c r="A166" s="24">
        <v>84</v>
      </c>
      <c r="B166" s="23" t="s">
        <v>328</v>
      </c>
      <c r="C166" s="24" t="s">
        <v>18</v>
      </c>
      <c r="D166" s="23"/>
      <c r="E166" s="23" t="s">
        <v>19</v>
      </c>
      <c r="F166" s="23" t="s">
        <v>347</v>
      </c>
      <c r="G166" s="23" t="s">
        <v>122</v>
      </c>
      <c r="H166" s="25">
        <v>6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85</v>
      </c>
      <c r="B167" s="23" t="s">
        <v>314</v>
      </c>
      <c r="C167" s="24" t="s">
        <v>18</v>
      </c>
      <c r="D167" s="23"/>
      <c r="E167" s="23" t="s">
        <v>19</v>
      </c>
      <c r="F167" s="23" t="s">
        <v>435</v>
      </c>
      <c r="G167" s="23" t="s">
        <v>142</v>
      </c>
      <c r="H167" s="25">
        <v>1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/>
      <c r="B168" s="23" t="s">
        <v>314</v>
      </c>
      <c r="C168" s="24" t="s">
        <v>18</v>
      </c>
      <c r="D168" s="23"/>
      <c r="E168" s="23" t="s">
        <v>19</v>
      </c>
      <c r="F168" s="23" t="s">
        <v>268</v>
      </c>
      <c r="G168" s="23" t="s">
        <v>136</v>
      </c>
      <c r="H168" s="25">
        <v>4</v>
      </c>
      <c r="I168" s="1"/>
      <c r="J168" s="26"/>
      <c r="K168" s="27"/>
      <c r="L168" s="27"/>
      <c r="M168" s="27"/>
      <c r="N168" s="1"/>
      <c r="O168" s="27"/>
      <c r="P168" s="27"/>
      <c r="Q168" s="27"/>
      <c r="R168" s="31"/>
    </row>
    <row r="169" spans="1:18" ht="15" customHeight="1">
      <c r="A169" s="24">
        <v>86</v>
      </c>
      <c r="B169" s="23" t="s">
        <v>330</v>
      </c>
      <c r="C169" s="24" t="s">
        <v>18</v>
      </c>
      <c r="D169" s="23"/>
      <c r="E169" s="23" t="s">
        <v>104</v>
      </c>
      <c r="F169" s="23" t="s">
        <v>341</v>
      </c>
      <c r="G169" s="23" t="s">
        <v>131</v>
      </c>
      <c r="H169" s="25">
        <v>6</v>
      </c>
      <c r="I169" s="1"/>
      <c r="J169" s="26"/>
      <c r="K169" s="27"/>
      <c r="L169" s="27"/>
      <c r="M169" s="27"/>
      <c r="N169" s="1"/>
      <c r="O169" s="27"/>
      <c r="P169" s="27"/>
      <c r="Q169" s="27"/>
      <c r="R169" s="31"/>
    </row>
    <row r="170" spans="1:18" ht="15" customHeight="1">
      <c r="A170" s="24"/>
      <c r="B170" s="23" t="s">
        <v>330</v>
      </c>
      <c r="C170" s="24" t="s">
        <v>18</v>
      </c>
      <c r="D170" s="23"/>
      <c r="E170" s="23" t="s">
        <v>19</v>
      </c>
      <c r="F170" s="23" t="s">
        <v>346</v>
      </c>
      <c r="G170" s="23" t="s">
        <v>122</v>
      </c>
      <c r="H170" s="25">
        <v>5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24.75" customHeight="1">
      <c r="A171" s="29">
        <v>87</v>
      </c>
      <c r="B171" s="30" t="s">
        <v>105</v>
      </c>
      <c r="C171" s="29" t="s">
        <v>30</v>
      </c>
      <c r="D171" s="30" t="s">
        <v>106</v>
      </c>
      <c r="E171" s="30" t="s">
        <v>19</v>
      </c>
      <c r="F171" s="30" t="s">
        <v>436</v>
      </c>
      <c r="G171" s="30" t="s">
        <v>142</v>
      </c>
      <c r="H171" s="25">
        <v>9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16187.880000000001</v>
      </c>
      <c r="P171" s="27">
        <f>4712.69+2993.76+7569.59+911.84</f>
        <v>16187.880000000001</v>
      </c>
      <c r="Q171" s="27"/>
      <c r="R171" s="31"/>
    </row>
    <row r="172" spans="1:18" ht="24.75" customHeight="1">
      <c r="A172" s="29">
        <v>88</v>
      </c>
      <c r="B172" s="30" t="s">
        <v>315</v>
      </c>
      <c r="C172" s="29" t="s">
        <v>18</v>
      </c>
      <c r="D172" s="30"/>
      <c r="E172" s="30" t="s">
        <v>19</v>
      </c>
      <c r="F172" s="30" t="s">
        <v>437</v>
      </c>
      <c r="G172" s="30" t="s">
        <v>142</v>
      </c>
      <c r="H172" s="25">
        <v>3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/>
      <c r="B173" s="30" t="s">
        <v>315</v>
      </c>
      <c r="C173" s="29" t="s">
        <v>18</v>
      </c>
      <c r="D173" s="30"/>
      <c r="E173" s="30" t="s">
        <v>322</v>
      </c>
      <c r="F173" s="30" t="s">
        <v>323</v>
      </c>
      <c r="G173" s="30" t="s">
        <v>124</v>
      </c>
      <c r="H173" s="25">
        <v>1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0</v>
      </c>
      <c r="P173" s="27"/>
      <c r="Q173" s="27"/>
      <c r="R173" s="31"/>
    </row>
    <row r="174" spans="1:18" ht="38.450000000000003" customHeight="1">
      <c r="A174" s="29">
        <v>89</v>
      </c>
      <c r="B174" s="30" t="s">
        <v>265</v>
      </c>
      <c r="C174" s="29" t="s">
        <v>18</v>
      </c>
      <c r="D174" s="30"/>
      <c r="E174" s="30" t="s">
        <v>19</v>
      </c>
      <c r="F174" s="30" t="s">
        <v>123</v>
      </c>
      <c r="G174" s="30" t="s">
        <v>142</v>
      </c>
      <c r="H174" s="25">
        <v>0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38.450000000000003" customHeight="1">
      <c r="A175" s="24">
        <v>90</v>
      </c>
      <c r="B175" s="23" t="s">
        <v>107</v>
      </c>
      <c r="C175" s="24" t="s">
        <v>18</v>
      </c>
      <c r="D175" s="23"/>
      <c r="E175" s="23" t="s">
        <v>41</v>
      </c>
      <c r="F175" s="30" t="s">
        <v>438</v>
      </c>
      <c r="G175" s="23" t="s">
        <v>142</v>
      </c>
      <c r="H175" s="25">
        <v>2</v>
      </c>
      <c r="I175" s="1"/>
      <c r="J175" s="26"/>
      <c r="K175" s="27">
        <f t="shared" si="6"/>
        <v>0</v>
      </c>
      <c r="L175" s="27"/>
      <c r="M175" s="27"/>
      <c r="N175" s="1">
        <v>1</v>
      </c>
      <c r="O175" s="27">
        <f t="shared" si="4"/>
        <v>1221.57</v>
      </c>
      <c r="P175" s="27">
        <v>1221.57</v>
      </c>
      <c r="Q175" s="27"/>
      <c r="R175" s="31"/>
    </row>
    <row r="176" spans="1:18" ht="15.75" customHeight="1">
      <c r="A176" s="24"/>
      <c r="B176" s="23" t="s">
        <v>107</v>
      </c>
      <c r="C176" s="24" t="s">
        <v>18</v>
      </c>
      <c r="D176" s="23"/>
      <c r="E176" s="23" t="s">
        <v>41</v>
      </c>
      <c r="F176" s="23" t="s">
        <v>295</v>
      </c>
      <c r="G176" s="23" t="s">
        <v>136</v>
      </c>
      <c r="H176" s="25">
        <v>10</v>
      </c>
      <c r="I176" s="2">
        <v>4</v>
      </c>
      <c r="J176" s="26">
        <v>4</v>
      </c>
      <c r="K176" s="27">
        <f t="shared" si="6"/>
        <v>0</v>
      </c>
      <c r="L176" s="27"/>
      <c r="M176" s="27"/>
      <c r="N176" s="2">
        <v>15</v>
      </c>
      <c r="O176" s="27">
        <f t="shared" si="4"/>
        <v>0</v>
      </c>
      <c r="P176" s="27"/>
      <c r="Q176" s="27"/>
      <c r="R176" s="31"/>
    </row>
    <row r="177" spans="1:18" ht="16.5" customHeight="1">
      <c r="A177" s="24">
        <v>91</v>
      </c>
      <c r="B177" s="23" t="s">
        <v>108</v>
      </c>
      <c r="C177" s="24" t="s">
        <v>18</v>
      </c>
      <c r="D177" s="23"/>
      <c r="E177" s="23" t="s">
        <v>19</v>
      </c>
      <c r="F177" s="23" t="s">
        <v>439</v>
      </c>
      <c r="G177" s="23" t="s">
        <v>142</v>
      </c>
      <c r="H177" s="25">
        <v>20</v>
      </c>
      <c r="I177" s="1">
        <v>15</v>
      </c>
      <c r="J177" s="26">
        <v>15</v>
      </c>
      <c r="K177" s="27">
        <f t="shared" si="6"/>
        <v>0</v>
      </c>
      <c r="L177" s="27"/>
      <c r="M177" s="27"/>
      <c r="N177" s="1">
        <v>6</v>
      </c>
      <c r="O177" s="27">
        <f t="shared" si="4"/>
        <v>11655.64</v>
      </c>
      <c r="P177" s="27">
        <f>5327.91+336.8+5990.93</f>
        <v>11655.64</v>
      </c>
      <c r="Q177" s="27"/>
      <c r="R177" s="31"/>
    </row>
    <row r="178" spans="1:18" ht="16.5" customHeight="1">
      <c r="A178" s="24"/>
      <c r="B178" s="23" t="s">
        <v>108</v>
      </c>
      <c r="C178" s="24" t="s">
        <v>18</v>
      </c>
      <c r="D178" s="23"/>
      <c r="E178" s="23" t="s">
        <v>19</v>
      </c>
      <c r="F178" s="23" t="s">
        <v>345</v>
      </c>
      <c r="G178" s="23" t="s">
        <v>122</v>
      </c>
      <c r="H178" s="25">
        <v>6</v>
      </c>
      <c r="I178" s="1"/>
      <c r="J178" s="26"/>
      <c r="K178" s="27">
        <f t="shared" si="6"/>
        <v>0</v>
      </c>
      <c r="L178" s="27"/>
      <c r="M178" s="27"/>
      <c r="N178" s="1">
        <v>4</v>
      </c>
      <c r="O178" s="27">
        <f t="shared" si="4"/>
        <v>0</v>
      </c>
      <c r="P178" s="27"/>
      <c r="Q178" s="27"/>
      <c r="R178" s="31"/>
    </row>
    <row r="179" spans="1:18" ht="16.5" customHeight="1">
      <c r="A179" s="24">
        <v>92</v>
      </c>
      <c r="B179" s="23" t="s">
        <v>146</v>
      </c>
      <c r="C179" s="24" t="s">
        <v>18</v>
      </c>
      <c r="D179" s="23"/>
      <c r="E179" s="23" t="s">
        <v>104</v>
      </c>
      <c r="F179" s="23" t="s">
        <v>291</v>
      </c>
      <c r="G179" s="23" t="s">
        <v>142</v>
      </c>
      <c r="H179" s="25">
        <v>0</v>
      </c>
      <c r="I179" s="1"/>
      <c r="J179" s="26"/>
      <c r="K179" s="27">
        <f t="shared" si="6"/>
        <v>0</v>
      </c>
      <c r="L179" s="27"/>
      <c r="M179" s="27"/>
      <c r="N179" s="1">
        <v>2</v>
      </c>
      <c r="O179" s="27">
        <f t="shared" si="4"/>
        <v>2891.29</v>
      </c>
      <c r="P179" s="27">
        <v>2891.29</v>
      </c>
      <c r="Q179" s="27"/>
      <c r="R179" s="31"/>
    </row>
    <row r="180" spans="1:18" ht="23.45" customHeight="1">
      <c r="A180" s="29">
        <v>93</v>
      </c>
      <c r="B180" s="30" t="s">
        <v>109</v>
      </c>
      <c r="C180" s="29" t="s">
        <v>52</v>
      </c>
      <c r="D180" s="30" t="s">
        <v>110</v>
      </c>
      <c r="E180" s="30" t="s">
        <v>19</v>
      </c>
      <c r="F180" s="30" t="s">
        <v>440</v>
      </c>
      <c r="G180" s="30" t="s">
        <v>142</v>
      </c>
      <c r="H180" s="25">
        <v>25</v>
      </c>
      <c r="I180" s="1">
        <v>19</v>
      </c>
      <c r="J180" s="26">
        <v>19</v>
      </c>
      <c r="K180" s="27">
        <f t="shared" si="6"/>
        <v>0</v>
      </c>
      <c r="L180" s="27"/>
      <c r="M180" s="27"/>
      <c r="N180" s="1">
        <v>17</v>
      </c>
      <c r="O180" s="27">
        <f t="shared" si="4"/>
        <v>46423.69</v>
      </c>
      <c r="P180" s="27">
        <f>8759.8+505.2+4743.98+1370.7+8567.35+22476.66</f>
        <v>46423.69</v>
      </c>
      <c r="Q180" s="27"/>
      <c r="R180" s="31"/>
    </row>
    <row r="181" spans="1:18" ht="27" customHeight="1">
      <c r="A181" s="29"/>
      <c r="B181" s="30" t="s">
        <v>109</v>
      </c>
      <c r="C181" s="29" t="s">
        <v>52</v>
      </c>
      <c r="D181" s="30" t="s">
        <v>110</v>
      </c>
      <c r="E181" s="30" t="s">
        <v>19</v>
      </c>
      <c r="F181" s="30" t="s">
        <v>344</v>
      </c>
      <c r="G181" s="30" t="s">
        <v>122</v>
      </c>
      <c r="H181" s="25">
        <v>14</v>
      </c>
      <c r="I181" s="1"/>
      <c r="J181" s="26"/>
      <c r="K181" s="27">
        <f t="shared" si="6"/>
        <v>0</v>
      </c>
      <c r="L181" s="27"/>
      <c r="M181" s="27"/>
      <c r="N181" s="1">
        <v>13</v>
      </c>
      <c r="O181" s="27">
        <f t="shared" si="4"/>
        <v>3199.6</v>
      </c>
      <c r="P181" s="27">
        <v>3199.6</v>
      </c>
      <c r="Q181" s="27"/>
      <c r="R181" s="31"/>
    </row>
    <row r="182" spans="1:18" ht="27.75" customHeight="1">
      <c r="A182" s="24">
        <v>94</v>
      </c>
      <c r="B182" s="23" t="s">
        <v>111</v>
      </c>
      <c r="C182" s="24" t="s">
        <v>18</v>
      </c>
      <c r="D182" s="23"/>
      <c r="E182" s="23" t="s">
        <v>112</v>
      </c>
      <c r="F182" s="23" t="s">
        <v>441</v>
      </c>
      <c r="G182" s="23" t="s">
        <v>142</v>
      </c>
      <c r="H182" s="25">
        <v>6</v>
      </c>
      <c r="I182" s="1"/>
      <c r="J182" s="26"/>
      <c r="K182" s="27">
        <f t="shared" si="6"/>
        <v>0</v>
      </c>
      <c r="L182" s="27"/>
      <c r="M182" s="27"/>
      <c r="N182" s="1"/>
      <c r="O182" s="27">
        <f t="shared" si="4"/>
        <v>27541.74</v>
      </c>
      <c r="P182" s="27">
        <f>8928+13420.68+5193.06</f>
        <v>27541.74</v>
      </c>
      <c r="Q182" s="27"/>
      <c r="R182" s="31"/>
    </row>
    <row r="183" spans="1:18" ht="16.5" customHeight="1">
      <c r="A183" s="24"/>
      <c r="B183" s="23" t="s">
        <v>111</v>
      </c>
      <c r="C183" s="24" t="s">
        <v>18</v>
      </c>
      <c r="D183" s="23"/>
      <c r="E183" s="23" t="s">
        <v>112</v>
      </c>
      <c r="F183" s="23" t="s">
        <v>123</v>
      </c>
      <c r="G183" s="23" t="s">
        <v>136</v>
      </c>
      <c r="H183" s="25">
        <v>7</v>
      </c>
      <c r="I183" s="2"/>
      <c r="J183" s="26"/>
      <c r="K183" s="27">
        <f t="shared" si="6"/>
        <v>0</v>
      </c>
      <c r="L183" s="27"/>
      <c r="M183" s="27"/>
      <c r="N183" s="2">
        <v>2</v>
      </c>
      <c r="O183" s="27">
        <f t="shared" si="4"/>
        <v>0</v>
      </c>
      <c r="P183" s="27"/>
      <c r="Q183" s="27"/>
      <c r="R183" s="31"/>
    </row>
    <row r="184" spans="1:18" ht="16.5" customHeight="1">
      <c r="A184" s="24">
        <v>95</v>
      </c>
      <c r="B184" s="23" t="s">
        <v>113</v>
      </c>
      <c r="C184" s="24" t="s">
        <v>18</v>
      </c>
      <c r="D184" s="23"/>
      <c r="E184" s="23" t="s">
        <v>19</v>
      </c>
      <c r="F184" s="23" t="s">
        <v>120</v>
      </c>
      <c r="G184" s="23" t="s">
        <v>142</v>
      </c>
      <c r="H184" s="25">
        <v>0</v>
      </c>
      <c r="I184" s="1"/>
      <c r="J184" s="26"/>
      <c r="K184" s="27">
        <f t="shared" si="6"/>
        <v>0</v>
      </c>
      <c r="L184" s="27"/>
      <c r="M184" s="27"/>
      <c r="N184" s="1">
        <v>2</v>
      </c>
      <c r="O184" s="27">
        <f t="shared" si="4"/>
        <v>0</v>
      </c>
      <c r="P184" s="27"/>
      <c r="Q184" s="27"/>
      <c r="R184" s="31"/>
    </row>
    <row r="185" spans="1:18" ht="18.75" customHeight="1">
      <c r="A185" s="24"/>
      <c r="B185" s="23" t="s">
        <v>113</v>
      </c>
      <c r="C185" s="24" t="s">
        <v>18</v>
      </c>
      <c r="D185" s="23"/>
      <c r="E185" s="23" t="s">
        <v>19</v>
      </c>
      <c r="F185" s="23" t="s">
        <v>292</v>
      </c>
      <c r="G185" s="23" t="s">
        <v>122</v>
      </c>
      <c r="H185" s="25">
        <v>11</v>
      </c>
      <c r="I185" s="1">
        <v>1</v>
      </c>
      <c r="J185" s="26">
        <v>1</v>
      </c>
      <c r="K185" s="27">
        <f t="shared" si="6"/>
        <v>0</v>
      </c>
      <c r="L185" s="27"/>
      <c r="M185" s="27"/>
      <c r="N185" s="1">
        <v>13</v>
      </c>
      <c r="O185" s="27">
        <f t="shared" si="4"/>
        <v>1321.5</v>
      </c>
      <c r="P185" s="27">
        <v>1321.5</v>
      </c>
      <c r="Q185" s="27"/>
      <c r="R185" s="31"/>
    </row>
    <row r="186" spans="1:18" ht="20.25" customHeight="1">
      <c r="A186" s="24">
        <v>96</v>
      </c>
      <c r="B186" s="23" t="s">
        <v>114</v>
      </c>
      <c r="C186" s="24" t="s">
        <v>18</v>
      </c>
      <c r="D186" s="23"/>
      <c r="E186" s="23" t="s">
        <v>41</v>
      </c>
      <c r="F186" s="23" t="s">
        <v>443</v>
      </c>
      <c r="G186" s="23" t="s">
        <v>142</v>
      </c>
      <c r="H186" s="25">
        <v>5</v>
      </c>
      <c r="I186" s="1">
        <v>1</v>
      </c>
      <c r="J186" s="26">
        <v>2</v>
      </c>
      <c r="K186" s="27">
        <f t="shared" si="6"/>
        <v>0</v>
      </c>
      <c r="L186" s="27"/>
      <c r="M186" s="27"/>
      <c r="N186" s="1">
        <v>1</v>
      </c>
      <c r="O186" s="27">
        <f t="shared" si="4"/>
        <v>12416.6</v>
      </c>
      <c r="P186" s="27">
        <f>7826.67+4589.93</f>
        <v>12416.6</v>
      </c>
      <c r="Q186" s="27"/>
      <c r="R186" s="31"/>
    </row>
    <row r="187" spans="1:18" ht="16.899999999999999" customHeight="1">
      <c r="A187" s="24"/>
      <c r="B187" s="23" t="s">
        <v>141</v>
      </c>
      <c r="C187" s="24" t="s">
        <v>18</v>
      </c>
      <c r="D187" s="23"/>
      <c r="E187" s="23" t="s">
        <v>41</v>
      </c>
      <c r="F187" s="23" t="s">
        <v>368</v>
      </c>
      <c r="G187" s="23" t="s">
        <v>136</v>
      </c>
      <c r="H187" s="25">
        <v>6</v>
      </c>
      <c r="I187" s="2"/>
      <c r="J187" s="26"/>
      <c r="K187" s="27">
        <f t="shared" si="6"/>
        <v>0</v>
      </c>
      <c r="L187" s="27"/>
      <c r="M187" s="27"/>
      <c r="N187" s="2">
        <v>4</v>
      </c>
      <c r="O187" s="27">
        <f t="shared" si="4"/>
        <v>9867.2000000000007</v>
      </c>
      <c r="P187" s="27">
        <v>9867.2000000000007</v>
      </c>
      <c r="Q187" s="27"/>
      <c r="R187" s="31"/>
    </row>
    <row r="188" spans="1:18" ht="16.899999999999999" customHeight="1">
      <c r="A188" s="24">
        <v>97</v>
      </c>
      <c r="B188" s="23" t="s">
        <v>309</v>
      </c>
      <c r="C188" s="24" t="s">
        <v>18</v>
      </c>
      <c r="D188" s="23"/>
      <c r="E188" s="23" t="s">
        <v>19</v>
      </c>
      <c r="F188" s="23" t="s">
        <v>442</v>
      </c>
      <c r="G188" s="23" t="s">
        <v>142</v>
      </c>
      <c r="H188" s="25">
        <v>7</v>
      </c>
      <c r="I188" s="2">
        <v>7</v>
      </c>
      <c r="J188" s="26">
        <v>7</v>
      </c>
      <c r="K188" s="27"/>
      <c r="L188" s="27"/>
      <c r="M188" s="27"/>
      <c r="N188" s="2"/>
      <c r="O188" s="27"/>
      <c r="P188" s="27"/>
      <c r="Q188" s="27"/>
      <c r="R188" s="31"/>
    </row>
    <row r="189" spans="1:18" ht="16.899999999999999" customHeight="1">
      <c r="A189" s="24"/>
      <c r="B189" s="23" t="s">
        <v>309</v>
      </c>
      <c r="C189" s="24" t="s">
        <v>18</v>
      </c>
      <c r="D189" s="23"/>
      <c r="E189" s="23" t="s">
        <v>19</v>
      </c>
      <c r="F189" s="23" t="s">
        <v>343</v>
      </c>
      <c r="G189" s="23" t="s">
        <v>122</v>
      </c>
      <c r="H189" s="25">
        <v>6</v>
      </c>
      <c r="I189" s="2">
        <v>1</v>
      </c>
      <c r="J189" s="26">
        <v>1</v>
      </c>
      <c r="K189" s="27">
        <f t="shared" si="6"/>
        <v>0</v>
      </c>
      <c r="L189" s="27"/>
      <c r="M189" s="27"/>
      <c r="N189" s="2"/>
      <c r="O189" s="27">
        <f t="shared" si="4"/>
        <v>0</v>
      </c>
      <c r="P189" s="27"/>
      <c r="Q189" s="27"/>
      <c r="R189" s="31"/>
    </row>
    <row r="190" spans="1:18" ht="16.899999999999999" customHeight="1">
      <c r="A190" s="24"/>
      <c r="B190" s="23" t="s">
        <v>309</v>
      </c>
      <c r="C190" s="24" t="s">
        <v>18</v>
      </c>
      <c r="D190" s="23"/>
      <c r="E190" s="23" t="s">
        <v>19</v>
      </c>
      <c r="F190" s="23" t="s">
        <v>324</v>
      </c>
      <c r="G190" s="23" t="s">
        <v>124</v>
      </c>
      <c r="H190" s="25">
        <v>0</v>
      </c>
      <c r="I190" s="2"/>
      <c r="J190" s="26"/>
      <c r="K190" s="27">
        <f t="shared" si="6"/>
        <v>0</v>
      </c>
      <c r="L190" s="27"/>
      <c r="M190" s="27"/>
      <c r="N190" s="2"/>
      <c r="O190" s="27">
        <f t="shared" si="4"/>
        <v>0</v>
      </c>
      <c r="P190" s="27"/>
      <c r="Q190" s="27"/>
      <c r="R190" s="31"/>
    </row>
    <row r="191" spans="1:18" ht="24.6" customHeight="1">
      <c r="A191" s="29">
        <v>98</v>
      </c>
      <c r="B191" s="30" t="s">
        <v>115</v>
      </c>
      <c r="C191" s="29" t="s">
        <v>52</v>
      </c>
      <c r="D191" s="30" t="s">
        <v>110</v>
      </c>
      <c r="E191" s="30" t="s">
        <v>19</v>
      </c>
      <c r="F191" s="30"/>
      <c r="G191" s="30" t="s">
        <v>142</v>
      </c>
      <c r="H191" s="25">
        <v>0</v>
      </c>
      <c r="I191" s="1"/>
      <c r="J191" s="26"/>
      <c r="K191" s="27">
        <f t="shared" si="6"/>
        <v>0</v>
      </c>
      <c r="L191" s="27"/>
      <c r="M191" s="27"/>
      <c r="N191" s="1">
        <v>1</v>
      </c>
      <c r="O191" s="27">
        <f t="shared" ref="O191:O195" si="7">P191+Q191</f>
        <v>0</v>
      </c>
      <c r="P191" s="27"/>
      <c r="Q191" s="27"/>
      <c r="R191" s="31"/>
    </row>
    <row r="192" spans="1:18" ht="32.25" customHeight="1">
      <c r="A192" s="29"/>
      <c r="B192" s="30" t="s">
        <v>115</v>
      </c>
      <c r="C192" s="29" t="s">
        <v>52</v>
      </c>
      <c r="D192" s="30" t="s">
        <v>110</v>
      </c>
      <c r="E192" s="30" t="s">
        <v>19</v>
      </c>
      <c r="F192" s="30" t="s">
        <v>292</v>
      </c>
      <c r="G192" s="30" t="s">
        <v>122</v>
      </c>
      <c r="H192" s="25">
        <v>0</v>
      </c>
      <c r="I192" s="1"/>
      <c r="J192" s="44"/>
      <c r="K192" s="27">
        <f t="shared" si="6"/>
        <v>0</v>
      </c>
      <c r="L192" s="27"/>
      <c r="M192" s="27"/>
      <c r="N192" s="1">
        <v>1</v>
      </c>
      <c r="O192" s="27">
        <f t="shared" si="7"/>
        <v>0</v>
      </c>
      <c r="P192" s="27"/>
      <c r="Q192" s="27"/>
      <c r="R192" s="31"/>
    </row>
    <row r="193" spans="1:18" ht="34.9" customHeight="1">
      <c r="A193" s="29">
        <v>99</v>
      </c>
      <c r="B193" s="30" t="s">
        <v>116</v>
      </c>
      <c r="C193" s="29" t="s">
        <v>52</v>
      </c>
      <c r="D193" s="30" t="s">
        <v>117</v>
      </c>
      <c r="E193" s="30" t="s">
        <v>19</v>
      </c>
      <c r="F193" s="30" t="s">
        <v>444</v>
      </c>
      <c r="G193" s="30" t="s">
        <v>142</v>
      </c>
      <c r="H193" s="25">
        <v>24</v>
      </c>
      <c r="I193" s="1">
        <v>7</v>
      </c>
      <c r="J193" s="44">
        <v>7</v>
      </c>
      <c r="K193" s="27">
        <f t="shared" si="6"/>
        <v>16538.14</v>
      </c>
      <c r="L193" s="27">
        <v>16538.14</v>
      </c>
      <c r="M193" s="27"/>
      <c r="N193" s="1">
        <v>3</v>
      </c>
      <c r="O193" s="27">
        <f t="shared" si="7"/>
        <v>14077.71</v>
      </c>
      <c r="P193" s="27">
        <v>14077.71</v>
      </c>
      <c r="Q193" s="27"/>
      <c r="R193" s="31"/>
    </row>
    <row r="194" spans="1:18" ht="28.5" customHeight="1">
      <c r="A194" s="29">
        <v>100</v>
      </c>
      <c r="B194" s="30" t="s">
        <v>209</v>
      </c>
      <c r="C194" s="29" t="s">
        <v>18</v>
      </c>
      <c r="D194" s="30"/>
      <c r="E194" s="30" t="s">
        <v>19</v>
      </c>
      <c r="F194" s="30" t="s">
        <v>123</v>
      </c>
      <c r="G194" s="30" t="s">
        <v>142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/>
      <c r="O194" s="27">
        <f t="shared" si="7"/>
        <v>0</v>
      </c>
      <c r="P194" s="27"/>
      <c r="Q194" s="27"/>
      <c r="R194" s="31"/>
    </row>
    <row r="195" spans="1:18" ht="19.5" customHeight="1">
      <c r="A195" s="29">
        <v>101</v>
      </c>
      <c r="B195" s="30" t="s">
        <v>118</v>
      </c>
      <c r="C195" s="29" t="s">
        <v>18</v>
      </c>
      <c r="D195" s="30"/>
      <c r="E195" s="30" t="s">
        <v>41</v>
      </c>
      <c r="F195" s="30" t="s">
        <v>445</v>
      </c>
      <c r="G195" s="30" t="s">
        <v>142</v>
      </c>
      <c r="H195" s="25">
        <v>14</v>
      </c>
      <c r="I195" s="1">
        <v>6</v>
      </c>
      <c r="J195" s="44">
        <v>6</v>
      </c>
      <c r="K195" s="27">
        <f t="shared" si="6"/>
        <v>0</v>
      </c>
      <c r="L195" s="27"/>
      <c r="M195" s="27"/>
      <c r="N195" s="1">
        <v>21</v>
      </c>
      <c r="O195" s="27">
        <f t="shared" si="7"/>
        <v>5636.46</v>
      </c>
      <c r="P195" s="27">
        <f>2707.13+2929.33</f>
        <v>5636.46</v>
      </c>
      <c r="Q195" s="27"/>
      <c r="R195" s="31"/>
    </row>
    <row r="196" spans="1:18" ht="30.6" customHeight="1">
      <c r="A196" s="24"/>
      <c r="B196" s="23" t="s">
        <v>118</v>
      </c>
      <c r="C196" s="24" t="s">
        <v>18</v>
      </c>
      <c r="D196" s="23"/>
      <c r="E196" s="23" t="s">
        <v>41</v>
      </c>
      <c r="F196" s="23" t="s">
        <v>298</v>
      </c>
      <c r="G196" s="23" t="s">
        <v>124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>
        <v>1</v>
      </c>
      <c r="O196" s="27">
        <f>P196+Q196</f>
        <v>5462.2</v>
      </c>
      <c r="P196" s="27"/>
      <c r="Q196" s="27">
        <v>5462.2</v>
      </c>
      <c r="R196" s="31"/>
    </row>
    <row r="197" spans="1:18" ht="27" customHeight="1">
      <c r="A197" s="24"/>
      <c r="B197" s="23" t="s">
        <v>118</v>
      </c>
      <c r="C197" s="24" t="s">
        <v>18</v>
      </c>
      <c r="D197" s="23"/>
      <c r="E197" s="23" t="s">
        <v>41</v>
      </c>
      <c r="F197" s="23" t="s">
        <v>123</v>
      </c>
      <c r="G197" s="23" t="s">
        <v>136</v>
      </c>
      <c r="H197" s="25">
        <v>0</v>
      </c>
      <c r="I197" s="2"/>
      <c r="J197" s="26"/>
      <c r="K197" s="27">
        <f t="shared" si="6"/>
        <v>0</v>
      </c>
      <c r="L197" s="27"/>
      <c r="M197" s="27"/>
      <c r="N197" s="2"/>
      <c r="O197" s="27">
        <f>P197+Q197</f>
        <v>0</v>
      </c>
      <c r="P197" s="27"/>
      <c r="Q197" s="27"/>
      <c r="R197" s="31"/>
    </row>
    <row r="198" spans="1:18" ht="27" customHeight="1">
      <c r="A198" s="46">
        <v>102</v>
      </c>
      <c r="B198" s="60" t="s">
        <v>119</v>
      </c>
      <c r="C198" s="46" t="s">
        <v>18</v>
      </c>
      <c r="D198" s="60"/>
      <c r="E198" s="60" t="s">
        <v>19</v>
      </c>
      <c r="F198" s="60" t="s">
        <v>120</v>
      </c>
      <c r="G198" s="60" t="s">
        <v>122</v>
      </c>
      <c r="H198" s="61">
        <v>0</v>
      </c>
      <c r="I198" s="32"/>
      <c r="J198" s="62"/>
      <c r="K198" s="27">
        <f t="shared" si="6"/>
        <v>0</v>
      </c>
      <c r="L198" s="63"/>
      <c r="M198" s="63"/>
      <c r="N198" s="32"/>
      <c r="O198" s="63">
        <v>0</v>
      </c>
      <c r="P198" s="63"/>
      <c r="Q198" s="63"/>
      <c r="R198" s="31"/>
    </row>
    <row r="199" spans="1:18" ht="27" customHeight="1">
      <c r="A199" s="46">
        <v>103</v>
      </c>
      <c r="B199" s="60" t="s">
        <v>325</v>
      </c>
      <c r="C199" s="46" t="s">
        <v>18</v>
      </c>
      <c r="D199" s="60"/>
      <c r="E199" s="60" t="s">
        <v>36</v>
      </c>
      <c r="F199" s="60" t="s">
        <v>446</v>
      </c>
      <c r="G199" s="60" t="s">
        <v>142</v>
      </c>
      <c r="H199" s="61">
        <v>6</v>
      </c>
      <c r="I199" s="32">
        <v>1</v>
      </c>
      <c r="J199" s="86">
        <v>1</v>
      </c>
      <c r="K199" s="27">
        <f t="shared" si="6"/>
        <v>0</v>
      </c>
      <c r="L199" s="63"/>
      <c r="M199" s="63"/>
      <c r="N199" s="32"/>
      <c r="O199" s="63">
        <v>0</v>
      </c>
      <c r="P199" s="63"/>
      <c r="Q199" s="63"/>
      <c r="R199" s="31"/>
    </row>
    <row r="200" spans="1:18" ht="27" customHeight="1">
      <c r="A200" s="46"/>
      <c r="B200" s="23" t="s">
        <v>325</v>
      </c>
      <c r="C200" s="24" t="s">
        <v>18</v>
      </c>
      <c r="D200" s="23"/>
      <c r="E200" s="23" t="s">
        <v>36</v>
      </c>
      <c r="F200" s="23" t="s">
        <v>369</v>
      </c>
      <c r="G200" s="23" t="s">
        <v>124</v>
      </c>
      <c r="H200" s="25">
        <v>0</v>
      </c>
      <c r="I200" s="2"/>
      <c r="J200" s="26"/>
      <c r="K200" s="27">
        <f t="shared" si="6"/>
        <v>0</v>
      </c>
      <c r="L200" s="27"/>
      <c r="M200" s="27"/>
      <c r="N200" s="2"/>
      <c r="O200" s="27">
        <v>0</v>
      </c>
      <c r="P200" s="27"/>
      <c r="Q200" s="27"/>
      <c r="R200" s="31"/>
    </row>
    <row r="201" spans="1:18" ht="18.75" customHeight="1" thickBot="1">
      <c r="A201" s="47"/>
      <c r="B201" s="48" t="s">
        <v>325</v>
      </c>
      <c r="C201" s="49" t="s">
        <v>18</v>
      </c>
      <c r="D201" s="48"/>
      <c r="E201" s="48" t="s">
        <v>370</v>
      </c>
      <c r="F201" s="48" t="s">
        <v>371</v>
      </c>
      <c r="G201" s="48" t="s">
        <v>136</v>
      </c>
      <c r="H201" s="50">
        <v>1</v>
      </c>
      <c r="I201" s="33"/>
      <c r="J201" s="51"/>
      <c r="K201" s="34">
        <f t="shared" si="6"/>
        <v>0</v>
      </c>
      <c r="L201" s="52"/>
      <c r="M201" s="52"/>
      <c r="N201" s="33"/>
      <c r="O201" s="52">
        <f>P201+Q201</f>
        <v>0</v>
      </c>
      <c r="P201" s="52"/>
      <c r="Q201" s="52"/>
      <c r="R201" s="31"/>
    </row>
    <row r="202" spans="1:18" ht="16.5" customHeight="1">
      <c r="A202" s="87" t="s">
        <v>145</v>
      </c>
      <c r="B202" s="87"/>
      <c r="C202" s="88"/>
      <c r="D202" s="89"/>
      <c r="E202" s="89"/>
      <c r="F202" s="89"/>
      <c r="G202" s="89"/>
      <c r="H202" s="88">
        <f>SUM(H10:H201)</f>
        <v>1149</v>
      </c>
      <c r="I202" s="88">
        <f>SUM(I10:I201)</f>
        <v>375</v>
      </c>
      <c r="J202" s="88">
        <f>SUM(J10:J201)</f>
        <v>386</v>
      </c>
      <c r="K202" s="90">
        <f>SUM(K10:K201)</f>
        <v>16538.14</v>
      </c>
      <c r="L202" s="90">
        <f t="shared" ref="L202:Q202" si="8">SUM(L10:L201)</f>
        <v>16538.14</v>
      </c>
      <c r="M202" s="88">
        <f t="shared" si="8"/>
        <v>0</v>
      </c>
      <c r="N202" s="88">
        <f t="shared" si="8"/>
        <v>651</v>
      </c>
      <c r="O202" s="90">
        <f>SUM(O10:O201)</f>
        <v>845921.79999999958</v>
      </c>
      <c r="P202" s="90">
        <f>SUM(P10:P201)</f>
        <v>837451.11999999965</v>
      </c>
      <c r="Q202" s="88">
        <f t="shared" si="8"/>
        <v>8470.68</v>
      </c>
      <c r="R202" s="31"/>
    </row>
    <row r="203" spans="1:18" ht="15" customHeight="1">
      <c r="A203" s="24"/>
      <c r="B203" s="23"/>
      <c r="C203" s="24"/>
      <c r="D203" s="23"/>
      <c r="E203" s="23"/>
      <c r="F203" s="23"/>
      <c r="G203" s="23"/>
      <c r="H203" s="98"/>
      <c r="I203" s="98"/>
      <c r="J203" s="98"/>
      <c r="K203" s="98"/>
      <c r="L203" s="98"/>
      <c r="M203" s="98"/>
      <c r="N203" s="98"/>
      <c r="O203" s="98"/>
      <c r="P203" s="24"/>
      <c r="Q203" s="24"/>
      <c r="R203" s="31"/>
    </row>
    <row r="204" spans="1:18">
      <c r="R204" s="31"/>
    </row>
    <row r="205" spans="1:18">
      <c r="K205" s="31"/>
      <c r="L205" s="31"/>
      <c r="M205" s="31"/>
      <c r="O205" s="28" t="e">
        <f>O8+O10+O12+O14+O16+O17+O18+O21+O24+O25+O27+O30+O32+O34+O36+O38+O40+O42+O44+O46+O48+O50+O51+O55+O56+O57+O58+O59+O61+O63+O64+O66+O68+O69+O71+O75+O77+O81+O82+O84+O89+O92+O93+O96+O98+O99+O100+O103+O106+O109+O112+O115+O116+O118+O121+O122+O124+O126+O128+O130+O132+O134+O136+O138+O139+O141+O144+O147+O150+O154+O155+O156+O157+O159+O160+O161+O163+O166+O171+O172+O174+O175+O177+O179+O180+O182+O184+O186+O188+O191+O193+O194+O195+O199</f>
        <v>#VALUE!</v>
      </c>
    </row>
    <row r="206" spans="1:18">
      <c r="K206" s="31"/>
      <c r="L206" s="31"/>
      <c r="N206" s="31"/>
      <c r="O206" s="31"/>
    </row>
    <row r="207" spans="1:18">
      <c r="K207" s="31"/>
      <c r="L207" s="31"/>
      <c r="N207" s="31"/>
    </row>
    <row r="208" spans="1:18">
      <c r="K208" s="31"/>
      <c r="L208" s="31"/>
    </row>
    <row r="209" spans="11:12">
      <c r="K209" s="31"/>
      <c r="L209" s="31"/>
    </row>
    <row r="210" spans="11:12">
      <c r="L210" s="31"/>
    </row>
    <row r="217" spans="11:12">
      <c r="L217" s="31"/>
    </row>
  </sheetData>
  <mergeCells count="8">
    <mergeCell ref="A202:B202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219"/>
  <sheetViews>
    <sheetView topLeftCell="A143" zoomScale="90" zoomScaleNormal="90" workbookViewId="0">
      <selection activeCell="A149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12</v>
      </c>
      <c r="I11" s="1">
        <v>6</v>
      </c>
      <c r="J11" s="26">
        <v>6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7048</v>
      </c>
      <c r="P11" s="27">
        <v>7048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9</v>
      </c>
      <c r="I12" s="1">
        <v>1</v>
      </c>
      <c r="J12" s="26">
        <v>2</v>
      </c>
      <c r="K12" s="27">
        <f t="shared" si="2"/>
        <v>0</v>
      </c>
      <c r="L12" s="27"/>
      <c r="M12" s="27"/>
      <c r="N12" s="1">
        <v>6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>
        <v>5</v>
      </c>
      <c r="J14" s="26">
        <v>9</v>
      </c>
      <c r="K14" s="27">
        <f t="shared" si="2"/>
        <v>0</v>
      </c>
      <c r="L14" s="27"/>
      <c r="M14" s="27"/>
      <c r="N14" s="1">
        <v>14</v>
      </c>
      <c r="O14" s="27">
        <f t="shared" si="1"/>
        <v>13242.79</v>
      </c>
      <c r="P14" s="27">
        <f>6380.54+898.62+5963.63</f>
        <v>13242.79</v>
      </c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14</v>
      </c>
      <c r="I15" s="2">
        <v>8</v>
      </c>
      <c r="J15" s="26">
        <v>8</v>
      </c>
      <c r="K15" s="27">
        <f t="shared" si="2"/>
        <v>0</v>
      </c>
      <c r="L15" s="27"/>
      <c r="M15" s="27"/>
      <c r="N15" s="2">
        <v>11</v>
      </c>
      <c r="O15" s="27">
        <f t="shared" si="1"/>
        <v>6836.7</v>
      </c>
      <c r="P15" s="27">
        <v>6836.7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25</v>
      </c>
      <c r="I16" s="1">
        <v>17</v>
      </c>
      <c r="J16" s="26">
        <v>19</v>
      </c>
      <c r="K16" s="27">
        <f t="shared" si="2"/>
        <v>0</v>
      </c>
      <c r="L16" s="27"/>
      <c r="M16" s="27"/>
      <c r="N16" s="1">
        <v>18</v>
      </c>
      <c r="O16" s="27">
        <f t="shared" si="1"/>
        <v>28576.01</v>
      </c>
      <c r="P16" s="27">
        <f>9373.48+1765.32+2881.47+14555.74</f>
        <v>28576.01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24</v>
      </c>
      <c r="I20" s="1">
        <v>16</v>
      </c>
      <c r="J20" s="26">
        <v>17</v>
      </c>
      <c r="K20" s="27">
        <f t="shared" si="2"/>
        <v>0</v>
      </c>
      <c r="L20" s="27"/>
      <c r="M20" s="27"/>
      <c r="N20" s="1">
        <v>19</v>
      </c>
      <c r="O20" s="27">
        <f t="shared" si="1"/>
        <v>16199.25</v>
      </c>
      <c r="P20" s="27">
        <f>4072.37+2831.63+9295.25</f>
        <v>16199.25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2629.92</v>
      </c>
      <c r="Q22" s="27">
        <v>894.07999999999993</v>
      </c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6214.38</v>
      </c>
      <c r="P23" s="27">
        <f>488+2791.37+2935.01</f>
        <v>6214.38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9</v>
      </c>
      <c r="I26" s="1">
        <v>5</v>
      </c>
      <c r="J26" s="44">
        <v>5</v>
      </c>
      <c r="K26" s="27">
        <f t="shared" si="2"/>
        <v>0</v>
      </c>
      <c r="L26" s="27"/>
      <c r="M26" s="27"/>
      <c r="N26" s="1">
        <v>1</v>
      </c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2</v>
      </c>
      <c r="J27" s="44">
        <v>2</v>
      </c>
      <c r="K27" s="27">
        <f t="shared" si="2"/>
        <v>0</v>
      </c>
      <c r="L27" s="27"/>
      <c r="M27" s="27"/>
      <c r="N27" s="1">
        <v>3</v>
      </c>
      <c r="O27" s="27">
        <f t="shared" si="1"/>
        <v>3364.54</v>
      </c>
      <c r="P27" s="27">
        <v>3364.54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16</v>
      </c>
      <c r="I29" s="1">
        <v>5</v>
      </c>
      <c r="J29" s="26">
        <v>5</v>
      </c>
      <c r="K29" s="27">
        <f t="shared" si="2"/>
        <v>0</v>
      </c>
      <c r="L29" s="27"/>
      <c r="M29" s="27"/>
      <c r="N29" s="1">
        <v>5</v>
      </c>
      <c r="O29" s="27">
        <f t="shared" si="1"/>
        <v>11735.84</v>
      </c>
      <c r="P29" s="27">
        <f>1585.49+7579.12+718.9+1852.33</f>
        <v>11735.84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10</v>
      </c>
      <c r="I32" s="1">
        <v>8</v>
      </c>
      <c r="J32" s="26">
        <v>9</v>
      </c>
      <c r="K32" s="27">
        <f t="shared" si="2"/>
        <v>0</v>
      </c>
      <c r="L32" s="27"/>
      <c r="M32" s="27"/>
      <c r="N32" s="1">
        <v>10</v>
      </c>
      <c r="O32" s="27">
        <f t="shared" si="1"/>
        <v>26399.21</v>
      </c>
      <c r="P32" s="27">
        <f>8353.67+11335.86+6709.68</f>
        <v>26399.21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3</v>
      </c>
      <c r="I33" s="2"/>
      <c r="J33" s="26"/>
      <c r="K33" s="27">
        <f t="shared" si="2"/>
        <v>0</v>
      </c>
      <c r="L33" s="27"/>
      <c r="M33" s="27"/>
      <c r="N33" s="2">
        <v>3</v>
      </c>
      <c r="O33" s="27">
        <f t="shared" si="1"/>
        <v>2995.4</v>
      </c>
      <c r="P33" s="27">
        <v>881</v>
      </c>
      <c r="Q33" s="27">
        <v>2114.4</v>
      </c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7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1233.4000000000001</v>
      </c>
      <c r="P35" s="27">
        <v>1233.4000000000001</v>
      </c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8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7284.47</v>
      </c>
      <c r="P36" s="27">
        <f>7284.47</f>
        <v>7284.47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10</v>
      </c>
      <c r="I37" s="2"/>
      <c r="J37" s="26"/>
      <c r="K37" s="27">
        <f t="shared" si="2"/>
        <v>0</v>
      </c>
      <c r="L37" s="27"/>
      <c r="M37" s="27"/>
      <c r="N37" s="2">
        <v>5</v>
      </c>
      <c r="O37" s="27">
        <f t="shared" si="1"/>
        <v>0</v>
      </c>
      <c r="P37" s="27"/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10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15812.21</v>
      </c>
      <c r="P38" s="27">
        <f>984.25+2870.5+11957.46</f>
        <v>15812.21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10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0</v>
      </c>
      <c r="P39" s="27"/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5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15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958.09</v>
      </c>
      <c r="P44" s="27">
        <v>958.09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4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5</v>
      </c>
      <c r="O47" s="27">
        <f t="shared" si="1"/>
        <v>3105.53</v>
      </c>
      <c r="P47" s="27">
        <v>3105.53</v>
      </c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9</v>
      </c>
      <c r="I48" s="1">
        <v>7</v>
      </c>
      <c r="J48" s="26">
        <v>7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4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12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6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11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7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7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11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16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21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9133</v>
      </c>
      <c r="P60" s="27">
        <f>2817.33+2170.4+4145.27</f>
        <v>9133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9</v>
      </c>
      <c r="J61" s="26">
        <v>9</v>
      </c>
      <c r="K61" s="27">
        <f t="shared" si="2"/>
        <v>0</v>
      </c>
      <c r="L61" s="27"/>
      <c r="M61" s="27"/>
      <c r="N61" s="1">
        <v>10</v>
      </c>
      <c r="O61" s="27">
        <f t="shared" si="1"/>
        <v>10101.32</v>
      </c>
      <c r="P61" s="27">
        <f>3558.78+6542.54</f>
        <v>10101.32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2</v>
      </c>
      <c r="J62" s="26">
        <v>2</v>
      </c>
      <c r="K62" s="27">
        <f t="shared" si="2"/>
        <v>0</v>
      </c>
      <c r="L62" s="27"/>
      <c r="M62" s="27"/>
      <c r="N62" s="1">
        <v>6</v>
      </c>
      <c r="O62" s="27">
        <f t="shared" si="1"/>
        <v>2995.4</v>
      </c>
      <c r="P62" s="27">
        <v>2995.4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9</v>
      </c>
      <c r="I63" s="1">
        <v>3</v>
      </c>
      <c r="J63" s="26">
        <v>3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12</v>
      </c>
      <c r="I64" s="1">
        <v>1</v>
      </c>
      <c r="J64" s="26">
        <v>1</v>
      </c>
      <c r="K64" s="27">
        <f t="shared" si="2"/>
        <v>0</v>
      </c>
      <c r="L64" s="27"/>
      <c r="M64" s="27"/>
      <c r="N64" s="1">
        <v>8</v>
      </c>
      <c r="O64" s="27">
        <f t="shared" si="1"/>
        <v>6537.02</v>
      </c>
      <c r="P64" s="27">
        <v>6537.02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10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2114.4</v>
      </c>
      <c r="P67" s="27">
        <v>2114.4</v>
      </c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9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16</v>
      </c>
      <c r="I70" s="2">
        <v>6</v>
      </c>
      <c r="J70" s="26">
        <v>6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20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15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6</v>
      </c>
      <c r="I75" s="1"/>
      <c r="J75" s="26"/>
      <c r="K75" s="27">
        <f t="shared" si="2"/>
        <v>0</v>
      </c>
      <c r="L75" s="27"/>
      <c r="M75" s="27"/>
      <c r="N75" s="1">
        <v>6</v>
      </c>
      <c r="O75" s="27">
        <f t="shared" si="1"/>
        <v>9024.58</v>
      </c>
      <c r="P75" s="27">
        <v>9024.58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10</v>
      </c>
      <c r="I77" s="1">
        <v>6</v>
      </c>
      <c r="J77" s="26">
        <v>6</v>
      </c>
      <c r="K77" s="27">
        <f t="shared" si="2"/>
        <v>0</v>
      </c>
      <c r="L77" s="27"/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8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3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3</v>
      </c>
      <c r="I80" s="1"/>
      <c r="J80" s="26"/>
      <c r="K80" s="27">
        <f t="shared" si="2"/>
        <v>0</v>
      </c>
      <c r="L80" s="27"/>
      <c r="M80" s="27"/>
      <c r="N80" s="1">
        <v>8</v>
      </c>
      <c r="O80" s="27">
        <f t="shared" si="1"/>
        <v>3876.4</v>
      </c>
      <c r="P80" s="27">
        <v>3876.4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268</v>
      </c>
      <c r="G81" s="23" t="s">
        <v>142</v>
      </c>
      <c r="H81" s="25">
        <v>0</v>
      </c>
      <c r="I81" s="1"/>
      <c r="J81" s="26"/>
      <c r="K81" s="27"/>
      <c r="L81" s="27"/>
      <c r="M81" s="27"/>
      <c r="N81" s="1"/>
      <c r="O81" s="27"/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/>
      <c r="L82" s="27"/>
      <c r="M82" s="27"/>
      <c r="N82" s="1"/>
      <c r="O82" s="27"/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33</v>
      </c>
      <c r="I83" s="1">
        <v>23</v>
      </c>
      <c r="J83" s="26">
        <v>23</v>
      </c>
      <c r="K83" s="27">
        <f t="shared" si="2"/>
        <v>0</v>
      </c>
      <c r="L83" s="27"/>
      <c r="M83" s="27"/>
      <c r="N83" s="1">
        <v>2</v>
      </c>
      <c r="O83" s="27">
        <f t="shared" si="1"/>
        <v>6215.87</v>
      </c>
      <c r="P83" s="27">
        <v>6215.87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11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477.41</v>
      </c>
      <c r="P84" s="27">
        <v>477.41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21</v>
      </c>
      <c r="I86" s="1">
        <v>18</v>
      </c>
      <c r="J86" s="26">
        <v>18</v>
      </c>
      <c r="K86" s="27">
        <f t="shared" ref="K86:K154" si="3">L86+M86</f>
        <v>0</v>
      </c>
      <c r="L86" s="27"/>
      <c r="M86" s="27"/>
      <c r="N86" s="1">
        <v>11</v>
      </c>
      <c r="O86" s="27">
        <f t="shared" si="1"/>
        <v>12540.810000000001</v>
      </c>
      <c r="P86" s="27">
        <f>1369.13+3431.04+7740.64</f>
        <v>12540.810000000001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5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12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10</v>
      </c>
      <c r="I92" s="2">
        <v>2</v>
      </c>
      <c r="J92" s="26">
        <v>2</v>
      </c>
      <c r="K92" s="27">
        <f t="shared" si="3"/>
        <v>0</v>
      </c>
      <c r="L92" s="27"/>
      <c r="M92" s="27"/>
      <c r="N92" s="2">
        <v>15</v>
      </c>
      <c r="O92" s="27">
        <f t="shared" si="1"/>
        <v>0</v>
      </c>
      <c r="P92" s="27"/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15</v>
      </c>
      <c r="I101" s="1">
        <v>9</v>
      </c>
      <c r="J101" s="26">
        <v>9</v>
      </c>
      <c r="K101" s="27">
        <f t="shared" si="3"/>
        <v>0</v>
      </c>
      <c r="L101" s="27"/>
      <c r="M101" s="27"/>
      <c r="N101" s="1">
        <v>8</v>
      </c>
      <c r="O101" s="27">
        <f t="shared" si="4"/>
        <v>12594.32</v>
      </c>
      <c r="P101" s="27">
        <f>8926.48+3667.84</f>
        <v>12594.32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7</v>
      </c>
      <c r="I102" s="1">
        <v>3</v>
      </c>
      <c r="J102" s="26">
        <v>3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10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12</v>
      </c>
      <c r="I105" s="1">
        <v>5</v>
      </c>
      <c r="J105" s="26">
        <v>5</v>
      </c>
      <c r="K105" s="27">
        <f t="shared" si="3"/>
        <v>0</v>
      </c>
      <c r="L105" s="27"/>
      <c r="M105" s="27"/>
      <c r="N105" s="1">
        <v>17</v>
      </c>
      <c r="O105" s="27">
        <f>P105+Q105</f>
        <v>25135.54</v>
      </c>
      <c r="P105" s="27">
        <f>7142.66+6007.6+11985.28</f>
        <v>25135.54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8</v>
      </c>
      <c r="I106" s="1"/>
      <c r="J106" s="26"/>
      <c r="K106" s="27">
        <f t="shared" si="3"/>
        <v>0</v>
      </c>
      <c r="L106" s="27"/>
      <c r="M106" s="27"/>
      <c r="N106" s="1">
        <v>5</v>
      </c>
      <c r="O106" s="27">
        <f>P106+Q106</f>
        <v>3171.6</v>
      </c>
      <c r="P106" s="27">
        <v>3171.6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12</v>
      </c>
      <c r="I107" s="2"/>
      <c r="J107" s="26"/>
      <c r="K107" s="27">
        <f t="shared" si="3"/>
        <v>0</v>
      </c>
      <c r="L107" s="27"/>
      <c r="M107" s="27"/>
      <c r="N107" s="2">
        <v>23</v>
      </c>
      <c r="O107" s="27">
        <f>P107+Q107</f>
        <v>39612.51</v>
      </c>
      <c r="P107" s="35">
        <v>39612.51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7</v>
      </c>
      <c r="I109" s="2"/>
      <c r="J109" s="26"/>
      <c r="K109" s="27">
        <f t="shared" si="3"/>
        <v>0</v>
      </c>
      <c r="L109" s="27"/>
      <c r="M109" s="27"/>
      <c r="N109" s="2">
        <v>2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3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9</v>
      </c>
      <c r="I111" s="2">
        <v>5</v>
      </c>
      <c r="J111" s="26">
        <v>5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8</v>
      </c>
      <c r="I112" s="2"/>
      <c r="J112" s="26"/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8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17</v>
      </c>
      <c r="I114" s="1">
        <v>16</v>
      </c>
      <c r="J114" s="26">
        <v>16</v>
      </c>
      <c r="K114" s="27">
        <f t="shared" si="3"/>
        <v>0</v>
      </c>
      <c r="L114" s="27"/>
      <c r="M114" s="27"/>
      <c r="N114" s="1">
        <v>6</v>
      </c>
      <c r="O114" s="27">
        <f t="shared" si="4"/>
        <v>19052.240000000002</v>
      </c>
      <c r="P114" s="27">
        <f>3646.63+15405.61</f>
        <v>19052.240000000002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17</v>
      </c>
      <c r="I118" s="1">
        <v>15</v>
      </c>
      <c r="J118" s="26">
        <v>16</v>
      </c>
      <c r="K118" s="27">
        <f t="shared" si="3"/>
        <v>0</v>
      </c>
      <c r="L118" s="27"/>
      <c r="M118" s="27"/>
      <c r="N118" s="1">
        <v>8</v>
      </c>
      <c r="O118" s="27">
        <f t="shared" si="4"/>
        <v>3333.95</v>
      </c>
      <c r="P118" s="27">
        <v>3333.95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13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4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5</v>
      </c>
      <c r="I124" s="1"/>
      <c r="J124" s="26"/>
      <c r="K124" s="27">
        <f t="shared" si="3"/>
        <v>0</v>
      </c>
      <c r="L124" s="27"/>
      <c r="M124" s="27"/>
      <c r="N124" s="1">
        <v>4</v>
      </c>
      <c r="O124" s="27">
        <f t="shared" si="4"/>
        <v>5739.96</v>
      </c>
      <c r="P124" s="27">
        <f>2479.17+3260.79</f>
        <v>5739.96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1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13</v>
      </c>
      <c r="I126" s="1">
        <v>10</v>
      </c>
      <c r="J126" s="26">
        <v>10</v>
      </c>
      <c r="K126" s="27">
        <f t="shared" si="3"/>
        <v>0</v>
      </c>
      <c r="L126" s="27"/>
      <c r="M126" s="27"/>
      <c r="N126" s="1">
        <v>7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35</v>
      </c>
      <c r="I128" s="1">
        <v>34</v>
      </c>
      <c r="J128" s="26">
        <v>34</v>
      </c>
      <c r="K128" s="27">
        <f t="shared" si="3"/>
        <v>0</v>
      </c>
      <c r="L128" s="27"/>
      <c r="M128" s="27"/>
      <c r="N128" s="1">
        <v>11</v>
      </c>
      <c r="O128" s="27">
        <f t="shared" si="4"/>
        <v>11436.490000000002</v>
      </c>
      <c r="P128" s="27">
        <f>4741.68+6694.81</f>
        <v>11436.490000000002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8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16</v>
      </c>
      <c r="I130" s="1">
        <v>13</v>
      </c>
      <c r="J130" s="26">
        <v>13</v>
      </c>
      <c r="K130" s="27">
        <f t="shared" si="3"/>
        <v>0</v>
      </c>
      <c r="L130" s="27"/>
      <c r="M130" s="27"/>
      <c r="N130" s="1">
        <v>10</v>
      </c>
      <c r="O130" s="27">
        <f t="shared" si="4"/>
        <v>12289.49</v>
      </c>
      <c r="P130" s="27">
        <f>919.46+2791.44+2825.9+1143.1+4609.59</f>
        <v>12289.49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19</v>
      </c>
      <c r="I132" s="1">
        <v>5</v>
      </c>
      <c r="J132" s="26">
        <v>5</v>
      </c>
      <c r="K132" s="27">
        <f t="shared" si="3"/>
        <v>0</v>
      </c>
      <c r="L132" s="27"/>
      <c r="M132" s="27"/>
      <c r="N132" s="1">
        <v>14</v>
      </c>
      <c r="O132" s="27">
        <f t="shared" si="4"/>
        <v>18168.28</v>
      </c>
      <c r="P132" s="27">
        <f>6606.63+11561.65</f>
        <v>18168.28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2</v>
      </c>
      <c r="J133" s="26">
        <v>2</v>
      </c>
      <c r="K133" s="27">
        <f t="shared" si="3"/>
        <v>0</v>
      </c>
      <c r="L133" s="27"/>
      <c r="M133" s="27"/>
      <c r="N133" s="1">
        <v>5</v>
      </c>
      <c r="O133" s="27">
        <f t="shared" si="4"/>
        <v>925.06</v>
      </c>
      <c r="P133" s="27">
        <v>925.06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14</v>
      </c>
      <c r="I134" s="1">
        <v>3</v>
      </c>
      <c r="J134" s="26">
        <v>3</v>
      </c>
      <c r="K134" s="27">
        <f t="shared" si="3"/>
        <v>0</v>
      </c>
      <c r="L134" s="27"/>
      <c r="M134" s="27"/>
      <c r="N134" s="1">
        <v>8</v>
      </c>
      <c r="O134" s="27">
        <f t="shared" si="4"/>
        <v>20511.48</v>
      </c>
      <c r="P134" s="27">
        <f>1359.87+2464.36+5364.57+11322.68</f>
        <v>20511.48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1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14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4034.98</v>
      </c>
      <c r="P137" s="27">
        <v>4034.98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9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7</v>
      </c>
      <c r="O138" s="27">
        <f t="shared" si="4"/>
        <v>4178.6100000000006</v>
      </c>
      <c r="P138" s="27">
        <f>1217+2961.61</f>
        <v>4178.6100000000006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2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2819.2</v>
      </c>
      <c r="P139" s="36">
        <v>2819.2</v>
      </c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6</v>
      </c>
      <c r="I140" s="1">
        <v>5</v>
      </c>
      <c r="J140" s="26">
        <v>5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5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0</v>
      </c>
      <c r="P141" s="27"/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0</v>
      </c>
      <c r="P142" s="27"/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2431.56</v>
      </c>
      <c r="P143" s="27">
        <f>2431.56</f>
        <v>2431.56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6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7</v>
      </c>
      <c r="I146" s="1">
        <v>4</v>
      </c>
      <c r="J146" s="26">
        <v>5</v>
      </c>
      <c r="K146" s="27">
        <f t="shared" si="3"/>
        <v>0</v>
      </c>
      <c r="L146" s="27"/>
      <c r="M146" s="27"/>
      <c r="N146" s="1">
        <v>2</v>
      </c>
      <c r="O146" s="27">
        <f t="shared" si="4"/>
        <v>0</v>
      </c>
      <c r="P146" s="27"/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1797.24</v>
      </c>
      <c r="P147" s="27">
        <v>1797.24</v>
      </c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15</v>
      </c>
      <c r="I148" s="1"/>
      <c r="J148" s="26"/>
      <c r="K148" s="27">
        <f t="shared" si="3"/>
        <v>528.6</v>
      </c>
      <c r="L148" s="27">
        <v>528.6</v>
      </c>
      <c r="M148" s="27"/>
      <c r="N148" s="1">
        <v>4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22</v>
      </c>
      <c r="I149" s="1">
        <v>12</v>
      </c>
      <c r="J149" s="26">
        <v>17</v>
      </c>
      <c r="K149" s="27">
        <f t="shared" si="3"/>
        <v>0</v>
      </c>
      <c r="L149" s="27"/>
      <c r="M149" s="27"/>
      <c r="N149" s="1">
        <v>7</v>
      </c>
      <c r="O149" s="27">
        <f t="shared" si="4"/>
        <v>5675.37</v>
      </c>
      <c r="P149" s="27">
        <v>5675.37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4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5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1639.99</v>
      </c>
      <c r="P152" s="27">
        <v>1639.99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8</v>
      </c>
      <c r="I154" s="1"/>
      <c r="J154" s="26"/>
      <c r="K154" s="27">
        <f t="shared" si="3"/>
        <v>0</v>
      </c>
      <c r="L154" s="27"/>
      <c r="M154" s="27"/>
      <c r="N154" s="1">
        <v>2</v>
      </c>
      <c r="O154" s="27">
        <f t="shared" si="4"/>
        <v>5814.6</v>
      </c>
      <c r="P154" s="27">
        <v>5814.6</v>
      </c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5</v>
      </c>
      <c r="I155" s="1"/>
      <c r="J155" s="26"/>
      <c r="K155" s="27">
        <f t="shared" ref="K155:K203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11</v>
      </c>
      <c r="I157" s="1">
        <v>9</v>
      </c>
      <c r="J157" s="26">
        <v>10</v>
      </c>
      <c r="K157" s="27">
        <f t="shared" si="6"/>
        <v>0</v>
      </c>
      <c r="L157" s="27"/>
      <c r="M157" s="27"/>
      <c r="N157" s="1">
        <v>6</v>
      </c>
      <c r="O157" s="27">
        <f t="shared" si="4"/>
        <v>7470.42</v>
      </c>
      <c r="P157" s="27">
        <f>887.45+1225.31+5357.66</f>
        <v>7470.42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6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7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380</v>
      </c>
      <c r="G165" s="37" t="s">
        <v>142</v>
      </c>
      <c r="H165" s="42">
        <v>1</v>
      </c>
      <c r="I165" s="40"/>
      <c r="J165" s="43"/>
      <c r="K165" s="39">
        <v>0</v>
      </c>
      <c r="L165" s="39"/>
      <c r="M165" s="39"/>
      <c r="N165" s="40"/>
      <c r="O165" s="39"/>
      <c r="P165" s="39"/>
      <c r="Q165" s="39"/>
      <c r="R165" s="31"/>
    </row>
    <row r="166" spans="1:1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10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6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2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39"/>
      <c r="L169" s="39"/>
      <c r="M169" s="39"/>
      <c r="N169" s="40"/>
      <c r="O169" s="39"/>
      <c r="P169" s="39"/>
      <c r="Q169" s="39"/>
      <c r="R169" s="31"/>
    </row>
    <row r="170" spans="1:1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4</v>
      </c>
      <c r="I170" s="1"/>
      <c r="J170" s="26"/>
      <c r="K170" s="27"/>
      <c r="L170" s="27"/>
      <c r="M170" s="27"/>
      <c r="N170" s="1"/>
      <c r="O170" s="27"/>
      <c r="P170" s="27"/>
      <c r="Q170" s="27"/>
      <c r="R170" s="31"/>
    </row>
    <row r="171" spans="1:1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7</v>
      </c>
      <c r="I171" s="1"/>
      <c r="J171" s="26"/>
      <c r="K171" s="27"/>
      <c r="L171" s="27"/>
      <c r="M171" s="27"/>
      <c r="N171" s="1"/>
      <c r="O171" s="27"/>
      <c r="P171" s="27"/>
      <c r="Q171" s="27"/>
      <c r="R171" s="31"/>
    </row>
    <row r="172" spans="1:18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6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9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31"/>
    </row>
    <row r="174" spans="1:1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5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2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18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18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31"/>
    </row>
    <row r="178" spans="1:1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17</v>
      </c>
      <c r="O178" s="27">
        <f t="shared" si="4"/>
        <v>0</v>
      </c>
      <c r="P178" s="27"/>
      <c r="Q178" s="27"/>
      <c r="R178" s="31"/>
    </row>
    <row r="179" spans="1:1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22</v>
      </c>
      <c r="I179" s="1">
        <v>15</v>
      </c>
      <c r="J179" s="26">
        <v>15</v>
      </c>
      <c r="K179" s="27">
        <f t="shared" si="6"/>
        <v>0</v>
      </c>
      <c r="L179" s="27"/>
      <c r="M179" s="27"/>
      <c r="N179" s="1">
        <v>6</v>
      </c>
      <c r="O179" s="27">
        <f t="shared" si="4"/>
        <v>11655.64</v>
      </c>
      <c r="P179" s="27">
        <f>5327.91+336.8+5990.93</f>
        <v>11655.64</v>
      </c>
      <c r="Q179" s="27"/>
      <c r="R179" s="31"/>
    </row>
    <row r="180" spans="1:18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6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31"/>
    </row>
    <row r="181" spans="1:18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2891.29</v>
      </c>
      <c r="P181" s="27">
        <v>2891.29</v>
      </c>
      <c r="Q181" s="27"/>
      <c r="R181" s="31"/>
    </row>
    <row r="182" spans="1:1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26</v>
      </c>
      <c r="I182" s="1">
        <v>20</v>
      </c>
      <c r="J182" s="26">
        <v>20</v>
      </c>
      <c r="K182" s="27">
        <f t="shared" si="6"/>
        <v>0</v>
      </c>
      <c r="L182" s="27"/>
      <c r="M182" s="27"/>
      <c r="N182" s="1">
        <v>17</v>
      </c>
      <c r="O182" s="27">
        <f t="shared" si="4"/>
        <v>46423.69</v>
      </c>
      <c r="P182" s="27">
        <f>8759.8+505.2+4743.98+1370.7+8567.35+22476.66</f>
        <v>46423.69</v>
      </c>
      <c r="Q182" s="27"/>
      <c r="R182" s="31"/>
    </row>
    <row r="183" spans="1:18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15</v>
      </c>
      <c r="I183" s="1"/>
      <c r="J183" s="26"/>
      <c r="K183" s="27">
        <f t="shared" si="6"/>
        <v>0</v>
      </c>
      <c r="L183" s="27"/>
      <c r="M183" s="27"/>
      <c r="N183" s="1">
        <v>14</v>
      </c>
      <c r="O183" s="27">
        <f t="shared" si="4"/>
        <v>13395.22</v>
      </c>
      <c r="P183" s="27">
        <v>13395.22</v>
      </c>
      <c r="Q183" s="27"/>
      <c r="R183" s="31"/>
    </row>
    <row r="184" spans="1:1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6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31"/>
    </row>
    <row r="185" spans="1:1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31"/>
    </row>
    <row r="186" spans="1:1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31"/>
    </row>
    <row r="187" spans="1:1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12</v>
      </c>
      <c r="I187" s="1">
        <v>2</v>
      </c>
      <c r="J187" s="26">
        <v>2</v>
      </c>
      <c r="K187" s="27">
        <f t="shared" si="6"/>
        <v>0</v>
      </c>
      <c r="L187" s="27"/>
      <c r="M187" s="27"/>
      <c r="N187" s="1">
        <v>13</v>
      </c>
      <c r="O187" s="27">
        <f t="shared" si="4"/>
        <v>19987.7</v>
      </c>
      <c r="P187" s="27">
        <v>19987.7</v>
      </c>
      <c r="Q187" s="27"/>
      <c r="R187" s="31"/>
    </row>
    <row r="188" spans="1:1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5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31"/>
    </row>
    <row r="189" spans="1:1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7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9867.2000000000007</v>
      </c>
      <c r="P189" s="27">
        <v>9867.2000000000007</v>
      </c>
      <c r="Q189" s="27"/>
      <c r="R189" s="31"/>
    </row>
    <row r="190" spans="1:1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10</v>
      </c>
      <c r="I190" s="2">
        <v>8</v>
      </c>
      <c r="J190" s="26">
        <v>8</v>
      </c>
      <c r="K190" s="27"/>
      <c r="L190" s="27"/>
      <c r="M190" s="27"/>
      <c r="N190" s="2"/>
      <c r="O190" s="27"/>
      <c r="P190" s="27"/>
      <c r="Q190" s="27"/>
      <c r="R190" s="31"/>
    </row>
    <row r="191" spans="1:1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6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31"/>
    </row>
    <row r="192" spans="1:1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31"/>
    </row>
    <row r="193" spans="1:18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31"/>
    </row>
    <row r="194" spans="1:18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31"/>
    </row>
    <row r="195" spans="1:18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25</v>
      </c>
      <c r="I195" s="1">
        <v>7</v>
      </c>
      <c r="J195" s="44">
        <v>7</v>
      </c>
      <c r="K195" s="27">
        <f t="shared" si="6"/>
        <v>16538.14</v>
      </c>
      <c r="L195" s="27">
        <v>16538.14</v>
      </c>
      <c r="M195" s="27"/>
      <c r="N195" s="1">
        <v>3</v>
      </c>
      <c r="O195" s="27">
        <f t="shared" si="7"/>
        <v>14077.71</v>
      </c>
      <c r="P195" s="27">
        <v>14077.71</v>
      </c>
      <c r="Q195" s="27"/>
      <c r="R195" s="31"/>
    </row>
    <row r="196" spans="1:18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31"/>
    </row>
    <row r="197" spans="1:18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15</v>
      </c>
      <c r="I197" s="1">
        <v>6</v>
      </c>
      <c r="J197" s="44">
        <v>6</v>
      </c>
      <c r="K197" s="27">
        <f t="shared" si="6"/>
        <v>0</v>
      </c>
      <c r="L197" s="27"/>
      <c r="M197" s="27"/>
      <c r="N197" s="1">
        <v>21</v>
      </c>
      <c r="O197" s="27">
        <f t="shared" si="7"/>
        <v>5636.46</v>
      </c>
      <c r="P197" s="27">
        <f>2707.13+2929.33</f>
        <v>5636.46</v>
      </c>
      <c r="Q197" s="27"/>
      <c r="R197" s="31"/>
    </row>
    <row r="198" spans="1:18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/>
      <c r="Q198" s="27">
        <v>5462.2</v>
      </c>
      <c r="R198" s="31"/>
    </row>
    <row r="199" spans="1:18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31"/>
    </row>
    <row r="200" spans="1:18" ht="27" customHeight="1">
      <c r="A200" s="46">
        <v>102</v>
      </c>
      <c r="B200" s="60" t="s">
        <v>119</v>
      </c>
      <c r="C200" s="46" t="s">
        <v>18</v>
      </c>
      <c r="D200" s="60"/>
      <c r="E200" s="60" t="s">
        <v>19</v>
      </c>
      <c r="F200" s="60" t="s">
        <v>120</v>
      </c>
      <c r="G200" s="60" t="s">
        <v>122</v>
      </c>
      <c r="H200" s="61">
        <v>0</v>
      </c>
      <c r="I200" s="32"/>
      <c r="J200" s="62"/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31"/>
    </row>
    <row r="201" spans="1:18" ht="27" customHeight="1">
      <c r="A201" s="46">
        <v>103</v>
      </c>
      <c r="B201" s="60" t="s">
        <v>325</v>
      </c>
      <c r="C201" s="46" t="s">
        <v>18</v>
      </c>
      <c r="D201" s="60"/>
      <c r="E201" s="60" t="s">
        <v>36</v>
      </c>
      <c r="F201" s="60" t="s">
        <v>446</v>
      </c>
      <c r="G201" s="60" t="s">
        <v>142</v>
      </c>
      <c r="H201" s="61">
        <v>7</v>
      </c>
      <c r="I201" s="32">
        <v>2</v>
      </c>
      <c r="J201" s="86">
        <v>2</v>
      </c>
      <c r="K201" s="27">
        <f t="shared" si="6"/>
        <v>0</v>
      </c>
      <c r="L201" s="63"/>
      <c r="M201" s="63"/>
      <c r="N201" s="32"/>
      <c r="O201" s="63">
        <v>0</v>
      </c>
      <c r="P201" s="63"/>
      <c r="Q201" s="63"/>
      <c r="R201" s="31"/>
    </row>
    <row r="202" spans="1:18" ht="27" customHeight="1">
      <c r="A202" s="46"/>
      <c r="B202" s="23" t="s">
        <v>325</v>
      </c>
      <c r="C202" s="24" t="s">
        <v>18</v>
      </c>
      <c r="D202" s="23"/>
      <c r="E202" s="23" t="s">
        <v>36</v>
      </c>
      <c r="F202" s="23" t="s">
        <v>369</v>
      </c>
      <c r="G202" s="23" t="s">
        <v>124</v>
      </c>
      <c r="H202" s="25">
        <v>0</v>
      </c>
      <c r="I202" s="2"/>
      <c r="J202" s="26"/>
      <c r="K202" s="27">
        <f t="shared" si="6"/>
        <v>0</v>
      </c>
      <c r="L202" s="27"/>
      <c r="M202" s="27"/>
      <c r="N202" s="2"/>
      <c r="O202" s="27">
        <v>0</v>
      </c>
      <c r="P202" s="27"/>
      <c r="Q202" s="27"/>
      <c r="R202" s="31"/>
    </row>
    <row r="203" spans="1:18" ht="18.75" customHeight="1" thickBot="1">
      <c r="A203" s="47"/>
      <c r="B203" s="48" t="s">
        <v>325</v>
      </c>
      <c r="C203" s="49" t="s">
        <v>18</v>
      </c>
      <c r="D203" s="48"/>
      <c r="E203" s="48" t="s">
        <v>370</v>
      </c>
      <c r="F203" s="48" t="s">
        <v>371</v>
      </c>
      <c r="G203" s="48" t="s">
        <v>136</v>
      </c>
      <c r="H203" s="50">
        <v>1</v>
      </c>
      <c r="I203" s="33"/>
      <c r="J203" s="51"/>
      <c r="K203" s="34">
        <f t="shared" si="6"/>
        <v>0</v>
      </c>
      <c r="L203" s="52"/>
      <c r="M203" s="52"/>
      <c r="N203" s="33"/>
      <c r="O203" s="52">
        <f>P203+Q203</f>
        <v>0</v>
      </c>
      <c r="P203" s="52"/>
      <c r="Q203" s="52"/>
      <c r="R203" s="31"/>
    </row>
    <row r="204" spans="1:18" ht="16.5" customHeight="1">
      <c r="A204" s="87" t="s">
        <v>145</v>
      </c>
      <c r="B204" s="87"/>
      <c r="C204" s="88"/>
      <c r="D204" s="89"/>
      <c r="E204" s="89"/>
      <c r="F204" s="89"/>
      <c r="G204" s="89"/>
      <c r="H204" s="88">
        <f>SUM(H10:H203)</f>
        <v>1299</v>
      </c>
      <c r="I204" s="88">
        <f>SUM(I10:I203)</f>
        <v>458</v>
      </c>
      <c r="J204" s="88">
        <f>SUM(J10:J203)</f>
        <v>478</v>
      </c>
      <c r="K204" s="90">
        <f>SUM(K10:K203)</f>
        <v>17066.739999999998</v>
      </c>
      <c r="L204" s="90">
        <f t="shared" ref="L204:Q204" si="8">SUM(L10:L203)</f>
        <v>17066.739999999998</v>
      </c>
      <c r="M204" s="88">
        <f t="shared" si="8"/>
        <v>0</v>
      </c>
      <c r="N204" s="88">
        <f t="shared" si="8"/>
        <v>721</v>
      </c>
      <c r="O204" s="90">
        <f>SUM(O10:O203)</f>
        <v>913250.86999999953</v>
      </c>
      <c r="P204" s="90">
        <f>SUM(P10:P203)</f>
        <v>904780.18999999959</v>
      </c>
      <c r="Q204" s="88">
        <f t="shared" si="8"/>
        <v>8470.68</v>
      </c>
      <c r="R204" s="31"/>
    </row>
    <row r="205" spans="1:18" ht="15" customHeight="1">
      <c r="A205" s="24"/>
      <c r="B205" s="23"/>
      <c r="C205" s="24"/>
      <c r="D205" s="23"/>
      <c r="E205" s="23"/>
      <c r="F205" s="23"/>
      <c r="G205" s="23"/>
      <c r="H205" s="98"/>
      <c r="I205" s="98"/>
      <c r="J205" s="98"/>
      <c r="K205" s="98"/>
      <c r="L205" s="98"/>
      <c r="M205" s="98"/>
      <c r="N205" s="98"/>
      <c r="O205" s="98"/>
      <c r="P205" s="24"/>
      <c r="Q205" s="24"/>
      <c r="R205" s="31"/>
    </row>
    <row r="206" spans="1:18">
      <c r="R206" s="31"/>
    </row>
    <row r="207" spans="1:18">
      <c r="K207" s="31">
        <f t="shared" ref="K207:N207" si="9">K10+K12+K14+K16+K18+K19+K20+K23+K26+K27+K29+K32+K34+K36+K38+K40+K42+K44+K46+K48+K50+K52+K53+K57+K58+K59+K60+K61+K63+K65+K66+K68+K70+K71+K73+K77+K79+K83+K84+K86+K91+K94+K95+K98+K100+K101+K102+K105+K108+K111+K114+K117+K118+K120+K123+K124+K126+K128+K130+K132+K134+K136+K138+K140+K141+K143+K146+K149+K152+K156+K157+K158+K159+K161+K162+K163+K165+K168+K173+K174+K176+K177+K179+K181+K182+K184+K186+K188+K190+K193+K195+K196+K197+K201</f>
        <v>16538.14</v>
      </c>
      <c r="L207" s="31">
        <f t="shared" si="9"/>
        <v>16538.14</v>
      </c>
      <c r="M207" s="31">
        <f t="shared" si="9"/>
        <v>0</v>
      </c>
      <c r="N207" s="31">
        <f t="shared" si="9"/>
        <v>447</v>
      </c>
      <c r="O207" s="31">
        <f>O10+O12+O14+O16+O18+O19+O20+O23+O26+O27+O29+O32+O34+O36+O38+O40+O42+O44+O46+O48+O50+O52+O53+O57+O58+O59+O60+O61+O63+O65+O66+O68+O70+O71+O73+O77+O79+O83+O84+O86+O91+O94+O95+O98+O100+O101+O102+O105+O108+O111+O114+O117+O118+O120+O123+O124+O126+O128+O130+O132+O134+O136+O138+O140+O141+O143+O146+O149+O152+O156+O157+O158+O159+O161+O162+O163+O165+O168+O173+O174+O176+O177+O179+O181+O182+O184+O186+O188+O190+O193+O195+O196+O197+O201</f>
        <v>727810.25999999989</v>
      </c>
      <c r="Q207" s="31">
        <f>O207+L207</f>
        <v>744348.39999999991</v>
      </c>
    </row>
    <row r="208" spans="1:18">
      <c r="K208" s="31"/>
      <c r="L208" s="31"/>
      <c r="N208" s="31"/>
      <c r="O208" s="31"/>
    </row>
    <row r="209" spans="11:14">
      <c r="K209" s="31"/>
      <c r="L209" s="31"/>
      <c r="N209" s="31"/>
    </row>
    <row r="210" spans="11:14">
      <c r="K210" s="31"/>
      <c r="L210" s="31"/>
    </row>
    <row r="211" spans="11:14">
      <c r="K211" s="31"/>
      <c r="L211" s="31"/>
    </row>
    <row r="212" spans="11:14">
      <c r="L212" s="31"/>
    </row>
    <row r="219" spans="11:14">
      <c r="L219" s="31"/>
    </row>
  </sheetData>
  <mergeCells count="8">
    <mergeCell ref="A204:B204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R219"/>
  <sheetViews>
    <sheetView topLeftCell="A162" zoomScale="72" zoomScaleNormal="72" workbookViewId="0">
      <selection activeCell="J162" sqref="A7:Q204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12</v>
      </c>
      <c r="I11" s="1">
        <v>6</v>
      </c>
      <c r="J11" s="26">
        <v>6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7048</v>
      </c>
      <c r="P11" s="27">
        <v>7048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9</v>
      </c>
      <c r="I12" s="1">
        <v>1</v>
      </c>
      <c r="J12" s="26">
        <v>2</v>
      </c>
      <c r="K12" s="27">
        <f t="shared" si="2"/>
        <v>0</v>
      </c>
      <c r="L12" s="27"/>
      <c r="M12" s="27"/>
      <c r="N12" s="1">
        <v>6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7</v>
      </c>
      <c r="I14" s="1">
        <v>5</v>
      </c>
      <c r="J14" s="26">
        <v>9</v>
      </c>
      <c r="K14" s="27">
        <f t="shared" si="2"/>
        <v>0</v>
      </c>
      <c r="L14" s="27"/>
      <c r="M14" s="27"/>
      <c r="N14" s="1">
        <v>14</v>
      </c>
      <c r="O14" s="27">
        <f t="shared" si="1"/>
        <v>13242.79</v>
      </c>
      <c r="P14" s="27">
        <f>6380.54+898.62+5963.63</f>
        <v>13242.79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14</v>
      </c>
      <c r="I15" s="2">
        <v>8</v>
      </c>
      <c r="J15" s="26">
        <v>8</v>
      </c>
      <c r="K15" s="27">
        <f t="shared" si="2"/>
        <v>0</v>
      </c>
      <c r="L15" s="27"/>
      <c r="M15" s="27"/>
      <c r="N15" s="2">
        <v>11</v>
      </c>
      <c r="O15" s="27">
        <f t="shared" si="1"/>
        <v>6836.7</v>
      </c>
      <c r="P15" s="27">
        <v>6836.7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27</v>
      </c>
      <c r="I16" s="1">
        <v>17</v>
      </c>
      <c r="J16" s="26">
        <v>19</v>
      </c>
      <c r="K16" s="27">
        <f t="shared" si="2"/>
        <v>0</v>
      </c>
      <c r="L16" s="27"/>
      <c r="M16" s="27"/>
      <c r="N16" s="1">
        <v>18</v>
      </c>
      <c r="O16" s="27">
        <f t="shared" si="1"/>
        <v>28576.01</v>
      </c>
      <c r="P16" s="27">
        <f>9373.48+1765.32+2881.47+14555.74</f>
        <v>28576.01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24</v>
      </c>
      <c r="I20" s="1">
        <v>16</v>
      </c>
      <c r="J20" s="26">
        <v>17</v>
      </c>
      <c r="K20" s="27">
        <f t="shared" si="2"/>
        <v>0</v>
      </c>
      <c r="L20" s="27"/>
      <c r="M20" s="27"/>
      <c r="N20" s="1">
        <v>19</v>
      </c>
      <c r="O20" s="27">
        <f t="shared" si="1"/>
        <v>16199.25</v>
      </c>
      <c r="P20" s="27">
        <f>4072.37+2831.63+9295.25</f>
        <v>16199.25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2629.92</v>
      </c>
      <c r="Q22" s="27">
        <v>894.07999999999993</v>
      </c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6214.38</v>
      </c>
      <c r="P23" s="27">
        <f>488+2791.37+2935.01</f>
        <v>6214.38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9</v>
      </c>
      <c r="I26" s="1">
        <v>5</v>
      </c>
      <c r="J26" s="44">
        <v>5</v>
      </c>
      <c r="K26" s="27">
        <f t="shared" si="2"/>
        <v>0</v>
      </c>
      <c r="L26" s="27"/>
      <c r="M26" s="27"/>
      <c r="N26" s="1">
        <v>1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11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3</v>
      </c>
      <c r="O27" s="27">
        <f t="shared" si="1"/>
        <v>3364.54</v>
      </c>
      <c r="P27" s="27">
        <v>3364.54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16</v>
      </c>
      <c r="I29" s="1">
        <v>5</v>
      </c>
      <c r="J29" s="26">
        <v>5</v>
      </c>
      <c r="K29" s="27">
        <f t="shared" si="2"/>
        <v>0</v>
      </c>
      <c r="L29" s="27"/>
      <c r="M29" s="27"/>
      <c r="N29" s="1">
        <v>5</v>
      </c>
      <c r="O29" s="27">
        <f t="shared" si="1"/>
        <v>11735.84</v>
      </c>
      <c r="P29" s="27">
        <f>1585.49+7579.12+718.9+1852.33</f>
        <v>11735.84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/>
      <c r="J31" s="26"/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12</v>
      </c>
      <c r="I32" s="1">
        <v>8</v>
      </c>
      <c r="J32" s="26">
        <v>9</v>
      </c>
      <c r="K32" s="27">
        <f t="shared" si="2"/>
        <v>0</v>
      </c>
      <c r="L32" s="27"/>
      <c r="M32" s="27"/>
      <c r="N32" s="1">
        <v>10</v>
      </c>
      <c r="O32" s="27">
        <f t="shared" si="1"/>
        <v>26399.21</v>
      </c>
      <c r="P32" s="27">
        <f>8353.67+11335.86+6709.68</f>
        <v>26399.21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3</v>
      </c>
      <c r="I33" s="2"/>
      <c r="J33" s="26"/>
      <c r="K33" s="27">
        <f t="shared" si="2"/>
        <v>0</v>
      </c>
      <c r="L33" s="27"/>
      <c r="M33" s="27"/>
      <c r="N33" s="2">
        <v>3</v>
      </c>
      <c r="O33" s="27">
        <f t="shared" si="1"/>
        <v>2995.4</v>
      </c>
      <c r="P33" s="27">
        <v>881</v>
      </c>
      <c r="Q33" s="27">
        <v>2114.4</v>
      </c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9</v>
      </c>
      <c r="I35" s="1"/>
      <c r="J35" s="26"/>
      <c r="K35" s="27">
        <f t="shared" si="2"/>
        <v>0</v>
      </c>
      <c r="L35" s="27"/>
      <c r="M35" s="27"/>
      <c r="N35" s="1">
        <v>5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8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7284.47</v>
      </c>
      <c r="P36" s="27">
        <f>7284.47</f>
        <v>7284.47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10</v>
      </c>
      <c r="I37" s="2"/>
      <c r="J37" s="26"/>
      <c r="K37" s="27">
        <f t="shared" si="2"/>
        <v>0</v>
      </c>
      <c r="L37" s="27"/>
      <c r="M37" s="27"/>
      <c r="N37" s="2">
        <v>5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11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15812.21</v>
      </c>
      <c r="P38" s="27">
        <f>984.25+2870.5+11957.46</f>
        <v>15812.21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11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3986.12</v>
      </c>
      <c r="P40" s="27">
        <f>1233.4+2752.72</f>
        <v>3986.12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5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16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958.09</v>
      </c>
      <c r="P44" s="27">
        <v>958.09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4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5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10</v>
      </c>
      <c r="I48" s="1">
        <v>9</v>
      </c>
      <c r="J48" s="26">
        <v>9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4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12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7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11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27742.65</v>
      </c>
      <c r="P53" s="27">
        <f>10258.95+12559.55+4924.15</f>
        <v>27742.65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7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7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12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16</v>
      </c>
      <c r="I59" s="82">
        <v>9</v>
      </c>
      <c r="J59" s="26">
        <v>9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22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9133</v>
      </c>
      <c r="P60" s="27">
        <f>2817.33+2170.4+4145.27</f>
        <v>9133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9</v>
      </c>
      <c r="J61" s="26">
        <v>9</v>
      </c>
      <c r="K61" s="27">
        <f t="shared" si="2"/>
        <v>0</v>
      </c>
      <c r="L61" s="27"/>
      <c r="M61" s="27"/>
      <c r="N61" s="1">
        <v>10</v>
      </c>
      <c r="O61" s="27">
        <f t="shared" si="1"/>
        <v>10101.32</v>
      </c>
      <c r="P61" s="27">
        <f>3558.78+6542.54</f>
        <v>10101.32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2</v>
      </c>
      <c r="J62" s="26">
        <v>2</v>
      </c>
      <c r="K62" s="27">
        <f t="shared" si="2"/>
        <v>0</v>
      </c>
      <c r="L62" s="27"/>
      <c r="M62" s="27"/>
      <c r="N62" s="1">
        <v>6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11</v>
      </c>
      <c r="I63" s="1">
        <v>7</v>
      </c>
      <c r="J63" s="26">
        <v>7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12</v>
      </c>
      <c r="I64" s="1">
        <v>1</v>
      </c>
      <c r="J64" s="26">
        <v>1</v>
      </c>
      <c r="K64" s="27">
        <f t="shared" si="2"/>
        <v>0</v>
      </c>
      <c r="L64" s="27"/>
      <c r="M64" s="27"/>
      <c r="N64" s="1">
        <v>8</v>
      </c>
      <c r="O64" s="27">
        <f t="shared" si="1"/>
        <v>6537.02</v>
      </c>
      <c r="P64" s="27">
        <v>6537.02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10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9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16</v>
      </c>
      <c r="I70" s="2">
        <v>6</v>
      </c>
      <c r="J70" s="26">
        <v>6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21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15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7</v>
      </c>
      <c r="I75" s="1"/>
      <c r="J75" s="26"/>
      <c r="K75" s="27">
        <f t="shared" si="2"/>
        <v>0</v>
      </c>
      <c r="L75" s="27"/>
      <c r="M75" s="27"/>
      <c r="N75" s="1">
        <v>7</v>
      </c>
      <c r="O75" s="27">
        <f t="shared" si="1"/>
        <v>9024.58</v>
      </c>
      <c r="P75" s="27">
        <v>9024.58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10</v>
      </c>
      <c r="I77" s="1">
        <v>6</v>
      </c>
      <c r="J77" s="26">
        <v>6</v>
      </c>
      <c r="K77" s="27">
        <f t="shared" si="2"/>
        <v>0</v>
      </c>
      <c r="L77" s="27"/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8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4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3</v>
      </c>
      <c r="I80" s="1"/>
      <c r="J80" s="26"/>
      <c r="K80" s="27">
        <f t="shared" si="2"/>
        <v>0</v>
      </c>
      <c r="L80" s="27"/>
      <c r="M80" s="27"/>
      <c r="N80" s="1">
        <v>9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268</v>
      </c>
      <c r="G81" s="23" t="s">
        <v>142</v>
      </c>
      <c r="H81" s="25">
        <v>0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37</v>
      </c>
      <c r="I83" s="1">
        <v>23</v>
      </c>
      <c r="J83" s="26">
        <v>23</v>
      </c>
      <c r="K83" s="27">
        <f t="shared" si="2"/>
        <v>0</v>
      </c>
      <c r="L83" s="27"/>
      <c r="M83" s="27"/>
      <c r="N83" s="1">
        <v>2</v>
      </c>
      <c r="O83" s="27">
        <f t="shared" si="1"/>
        <v>6215.87</v>
      </c>
      <c r="P83" s="27">
        <v>6215.87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477.41</v>
      </c>
      <c r="P84" s="27">
        <v>477.41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21</v>
      </c>
      <c r="I86" s="1">
        <v>18</v>
      </c>
      <c r="J86" s="26">
        <v>18</v>
      </c>
      <c r="K86" s="27">
        <f t="shared" ref="K86:K154" si="3">L86+M86</f>
        <v>0</v>
      </c>
      <c r="L86" s="27"/>
      <c r="M86" s="27"/>
      <c r="N86" s="1">
        <v>11</v>
      </c>
      <c r="O86" s="27">
        <f t="shared" si="1"/>
        <v>12540.810000000001</v>
      </c>
      <c r="P86" s="27">
        <f>1369.13+3431.04+7740.64</f>
        <v>12540.810000000001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7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14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2</v>
      </c>
      <c r="J92" s="26">
        <v>2</v>
      </c>
      <c r="K92" s="27">
        <f t="shared" si="3"/>
        <v>0</v>
      </c>
      <c r="L92" s="27"/>
      <c r="M92" s="27"/>
      <c r="N92" s="2">
        <v>15</v>
      </c>
      <c r="O92" s="27">
        <f t="shared" si="1"/>
        <v>0</v>
      </c>
      <c r="P92" s="27"/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16</v>
      </c>
      <c r="I101" s="1">
        <v>10</v>
      </c>
      <c r="J101" s="26">
        <v>10</v>
      </c>
      <c r="K101" s="27">
        <f t="shared" si="3"/>
        <v>0</v>
      </c>
      <c r="L101" s="27"/>
      <c r="M101" s="27"/>
      <c r="N101" s="1">
        <v>9</v>
      </c>
      <c r="O101" s="27">
        <f t="shared" si="4"/>
        <v>12594.32</v>
      </c>
      <c r="P101" s="27">
        <f>8926.48+3667.84</f>
        <v>12594.32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7</v>
      </c>
      <c r="I102" s="1">
        <v>4</v>
      </c>
      <c r="J102" s="26">
        <v>4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10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13</v>
      </c>
      <c r="I105" s="1">
        <v>5</v>
      </c>
      <c r="J105" s="26">
        <v>5</v>
      </c>
      <c r="K105" s="27">
        <f t="shared" si="3"/>
        <v>0</v>
      </c>
      <c r="L105" s="27"/>
      <c r="M105" s="27"/>
      <c r="N105" s="1">
        <v>17</v>
      </c>
      <c r="O105" s="27">
        <f>P105+Q105</f>
        <v>25135.54</v>
      </c>
      <c r="P105" s="27">
        <f>7142.66+6007.6+11985.28</f>
        <v>25135.54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9</v>
      </c>
      <c r="I106" s="1"/>
      <c r="J106" s="26"/>
      <c r="K106" s="27">
        <f t="shared" si="3"/>
        <v>0</v>
      </c>
      <c r="L106" s="27"/>
      <c r="M106" s="27"/>
      <c r="N106" s="1">
        <v>5</v>
      </c>
      <c r="O106" s="27">
        <f>P106+Q106</f>
        <v>3171.6</v>
      </c>
      <c r="P106" s="27">
        <v>3171.6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14</v>
      </c>
      <c r="I107" s="2"/>
      <c r="J107" s="26"/>
      <c r="K107" s="27">
        <f t="shared" si="3"/>
        <v>0</v>
      </c>
      <c r="L107" s="27"/>
      <c r="M107" s="27"/>
      <c r="N107" s="2">
        <v>23</v>
      </c>
      <c r="O107" s="27">
        <f>P107+Q107</f>
        <v>39612.51</v>
      </c>
      <c r="P107" s="35">
        <v>39612.51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7</v>
      </c>
      <c r="I109" s="2"/>
      <c r="J109" s="26"/>
      <c r="K109" s="27">
        <f t="shared" si="3"/>
        <v>0</v>
      </c>
      <c r="L109" s="27"/>
      <c r="M109" s="27"/>
      <c r="N109" s="2">
        <v>2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4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11</v>
      </c>
      <c r="I111" s="2">
        <v>7</v>
      </c>
      <c r="J111" s="26">
        <v>7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10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8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18</v>
      </c>
      <c r="I114" s="1">
        <v>16</v>
      </c>
      <c r="J114" s="26">
        <v>16</v>
      </c>
      <c r="K114" s="27">
        <f t="shared" si="3"/>
        <v>0</v>
      </c>
      <c r="L114" s="27"/>
      <c r="M114" s="27"/>
      <c r="N114" s="1">
        <v>6</v>
      </c>
      <c r="O114" s="27">
        <f t="shared" si="4"/>
        <v>19052.240000000002</v>
      </c>
      <c r="P114" s="27">
        <f>3646.63+15405.61</f>
        <v>19052.240000000002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17</v>
      </c>
      <c r="I118" s="1">
        <v>15</v>
      </c>
      <c r="J118" s="26">
        <v>16</v>
      </c>
      <c r="K118" s="27">
        <f t="shared" si="3"/>
        <v>0</v>
      </c>
      <c r="L118" s="27"/>
      <c r="M118" s="27"/>
      <c r="N118" s="1">
        <v>8</v>
      </c>
      <c r="O118" s="27">
        <f t="shared" si="4"/>
        <v>3333.95</v>
      </c>
      <c r="P118" s="27">
        <v>3333.95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13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4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5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5739.96</v>
      </c>
      <c r="P124" s="27">
        <f>2479.17+3260.79</f>
        <v>5739.96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1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13</v>
      </c>
      <c r="I126" s="1">
        <v>10</v>
      </c>
      <c r="J126" s="26">
        <v>10</v>
      </c>
      <c r="K126" s="27">
        <f t="shared" si="3"/>
        <v>0</v>
      </c>
      <c r="L126" s="27"/>
      <c r="M126" s="27"/>
      <c r="N126" s="1">
        <v>8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36</v>
      </c>
      <c r="I128" s="1">
        <v>34</v>
      </c>
      <c r="J128" s="26">
        <v>34</v>
      </c>
      <c r="K128" s="27">
        <f t="shared" si="3"/>
        <v>0</v>
      </c>
      <c r="L128" s="27"/>
      <c r="M128" s="27"/>
      <c r="N128" s="1">
        <v>11</v>
      </c>
      <c r="O128" s="27">
        <f t="shared" si="4"/>
        <v>11436.490000000002</v>
      </c>
      <c r="P128" s="27">
        <f>4741.68+6694.81</f>
        <v>11436.490000000002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8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16</v>
      </c>
      <c r="I130" s="1">
        <v>13</v>
      </c>
      <c r="J130" s="26">
        <v>13</v>
      </c>
      <c r="K130" s="27">
        <f t="shared" si="3"/>
        <v>0</v>
      </c>
      <c r="L130" s="27"/>
      <c r="M130" s="27"/>
      <c r="N130" s="1">
        <v>10</v>
      </c>
      <c r="O130" s="27">
        <f t="shared" si="4"/>
        <v>12289.49</v>
      </c>
      <c r="P130" s="27">
        <f>919.46+2791.44+2825.9+1143.1+4609.59</f>
        <v>12289.49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19</v>
      </c>
      <c r="I132" s="1">
        <v>6</v>
      </c>
      <c r="J132" s="26">
        <v>6</v>
      </c>
      <c r="K132" s="27">
        <f t="shared" si="3"/>
        <v>0</v>
      </c>
      <c r="L132" s="27"/>
      <c r="M132" s="27"/>
      <c r="N132" s="1">
        <v>15</v>
      </c>
      <c r="O132" s="27">
        <f t="shared" si="4"/>
        <v>18168.28</v>
      </c>
      <c r="P132" s="27">
        <f>6606.63+11561.65</f>
        <v>18168.28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2</v>
      </c>
      <c r="J133" s="26">
        <v>2</v>
      </c>
      <c r="K133" s="27">
        <f t="shared" si="3"/>
        <v>0</v>
      </c>
      <c r="L133" s="27"/>
      <c r="M133" s="27"/>
      <c r="N133" s="1">
        <v>5</v>
      </c>
      <c r="O133" s="27">
        <f t="shared" si="4"/>
        <v>925.06</v>
      </c>
      <c r="P133" s="27">
        <v>925.06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15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10</v>
      </c>
      <c r="O134" s="27">
        <f t="shared" si="4"/>
        <v>20511.48</v>
      </c>
      <c r="P134" s="27">
        <f>1359.87+2464.36+5364.57+11322.68</f>
        <v>20511.48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1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18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9</v>
      </c>
      <c r="I138" s="1">
        <v>6</v>
      </c>
      <c r="J138" s="26">
        <v>6</v>
      </c>
      <c r="K138" s="27">
        <f t="shared" si="3"/>
        <v>0</v>
      </c>
      <c r="L138" s="27"/>
      <c r="M138" s="27"/>
      <c r="N138" s="1">
        <v>9</v>
      </c>
      <c r="O138" s="27">
        <f t="shared" si="4"/>
        <v>4178.6100000000006</v>
      </c>
      <c r="P138" s="27">
        <f>1217+2961.61</f>
        <v>4178.6100000000006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6</v>
      </c>
      <c r="I139" s="1"/>
      <c r="J139" s="26"/>
      <c r="K139" s="27">
        <f t="shared" si="3"/>
        <v>0</v>
      </c>
      <c r="L139" s="27"/>
      <c r="M139" s="27"/>
      <c r="N139" s="1">
        <v>4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6</v>
      </c>
      <c r="I140" s="1">
        <v>5</v>
      </c>
      <c r="J140" s="26">
        <v>5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6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0</v>
      </c>
      <c r="P141" s="27"/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0</v>
      </c>
      <c r="P142" s="27"/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2431.56</v>
      </c>
      <c r="P143" s="27">
        <f>2431.56</f>
        <v>2431.56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6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7</v>
      </c>
      <c r="I146" s="1">
        <v>4</v>
      </c>
      <c r="J146" s="26">
        <v>5</v>
      </c>
      <c r="K146" s="27">
        <f t="shared" si="3"/>
        <v>0</v>
      </c>
      <c r="L146" s="27"/>
      <c r="M146" s="27"/>
      <c r="N146" s="1">
        <v>2</v>
      </c>
      <c r="O146" s="27">
        <f t="shared" si="4"/>
        <v>0</v>
      </c>
      <c r="P146" s="27"/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15</v>
      </c>
      <c r="I148" s="1"/>
      <c r="J148" s="26"/>
      <c r="K148" s="27">
        <f t="shared" si="3"/>
        <v>528.6</v>
      </c>
      <c r="L148" s="27">
        <v>528.6</v>
      </c>
      <c r="M148" s="27"/>
      <c r="N148" s="1">
        <v>4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24</v>
      </c>
      <c r="I149" s="1">
        <v>12</v>
      </c>
      <c r="J149" s="26">
        <v>17</v>
      </c>
      <c r="K149" s="27">
        <f t="shared" si="3"/>
        <v>0</v>
      </c>
      <c r="L149" s="27"/>
      <c r="M149" s="27"/>
      <c r="N149" s="1">
        <v>7</v>
      </c>
      <c r="O149" s="27">
        <f t="shared" si="4"/>
        <v>5675.37</v>
      </c>
      <c r="P149" s="27">
        <v>5675.37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5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5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1639.99</v>
      </c>
      <c r="P152" s="27">
        <v>1639.99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8</v>
      </c>
      <c r="I154" s="1"/>
      <c r="J154" s="26"/>
      <c r="K154" s="27">
        <f t="shared" si="3"/>
        <v>0</v>
      </c>
      <c r="L154" s="27"/>
      <c r="M154" s="27"/>
      <c r="N154" s="1">
        <v>2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5</v>
      </c>
      <c r="I155" s="1"/>
      <c r="J155" s="26"/>
      <c r="K155" s="27">
        <f t="shared" ref="K155:K203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11</v>
      </c>
      <c r="I157" s="1">
        <v>9</v>
      </c>
      <c r="J157" s="26">
        <v>10</v>
      </c>
      <c r="K157" s="27">
        <f t="shared" si="6"/>
        <v>0</v>
      </c>
      <c r="L157" s="27"/>
      <c r="M157" s="27"/>
      <c r="N157" s="1">
        <v>6</v>
      </c>
      <c r="O157" s="27">
        <f t="shared" si="4"/>
        <v>7470.42</v>
      </c>
      <c r="P157" s="27">
        <f>887.45+1225.31+5357.66</f>
        <v>7470.42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6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7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380</v>
      </c>
      <c r="G165" s="37" t="s">
        <v>142</v>
      </c>
      <c r="H165" s="42">
        <v>1</v>
      </c>
      <c r="I165" s="40"/>
      <c r="J165" s="43"/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10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7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2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7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6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9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5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2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17</v>
      </c>
      <c r="O178" s="27">
        <f t="shared" si="4"/>
        <v>0</v>
      </c>
      <c r="P178" s="27"/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22</v>
      </c>
      <c r="I179" s="1">
        <v>15</v>
      </c>
      <c r="J179" s="26">
        <v>15</v>
      </c>
      <c r="K179" s="27">
        <f t="shared" si="6"/>
        <v>0</v>
      </c>
      <c r="L179" s="27"/>
      <c r="M179" s="27"/>
      <c r="N179" s="1">
        <v>6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6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2891.29</v>
      </c>
      <c r="P181" s="27">
        <v>2891.29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28</v>
      </c>
      <c r="I182" s="1">
        <v>20</v>
      </c>
      <c r="J182" s="26">
        <v>20</v>
      </c>
      <c r="K182" s="27">
        <f t="shared" si="6"/>
        <v>0</v>
      </c>
      <c r="L182" s="27"/>
      <c r="M182" s="27"/>
      <c r="N182" s="1">
        <v>17</v>
      </c>
      <c r="O182" s="27">
        <f t="shared" si="4"/>
        <v>46423.69</v>
      </c>
      <c r="P182" s="27">
        <f>8759.8+505.2+4743.98+1370.7+8567.35+22476.66</f>
        <v>46423.69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15</v>
      </c>
      <c r="I183" s="1">
        <v>1</v>
      </c>
      <c r="J183" s="26">
        <v>1</v>
      </c>
      <c r="K183" s="27">
        <f t="shared" si="6"/>
        <v>0</v>
      </c>
      <c r="L183" s="27"/>
      <c r="M183" s="27"/>
      <c r="N183" s="1">
        <v>14</v>
      </c>
      <c r="O183" s="27">
        <f t="shared" si="4"/>
        <v>13395.22</v>
      </c>
      <c r="P183" s="27">
        <v>13395.22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6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20"/>
    </row>
    <row r="186" spans="1:3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20"/>
    </row>
    <row r="187" spans="1:3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13</v>
      </c>
      <c r="I187" s="1">
        <v>2</v>
      </c>
      <c r="J187" s="26">
        <v>2</v>
      </c>
      <c r="K187" s="27">
        <f t="shared" si="6"/>
        <v>0</v>
      </c>
      <c r="L187" s="27"/>
      <c r="M187" s="27"/>
      <c r="N187" s="1">
        <v>13</v>
      </c>
      <c r="O187" s="27">
        <f t="shared" si="4"/>
        <v>19987.7</v>
      </c>
      <c r="P187" s="27">
        <v>19987.7</v>
      </c>
      <c r="Q187" s="27"/>
      <c r="R187" s="20"/>
    </row>
    <row r="188" spans="1:3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5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20"/>
    </row>
    <row r="189" spans="1:3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7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9867.2000000000007</v>
      </c>
      <c r="P189" s="27">
        <v>9867.2000000000007</v>
      </c>
      <c r="Q189" s="27"/>
      <c r="R189" s="20"/>
    </row>
    <row r="190" spans="1:3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11</v>
      </c>
      <c r="I190" s="2">
        <v>10</v>
      </c>
      <c r="J190" s="26">
        <v>10</v>
      </c>
      <c r="K190" s="27"/>
      <c r="L190" s="27"/>
      <c r="M190" s="27"/>
      <c r="N190" s="2"/>
      <c r="O190" s="27"/>
      <c r="P190" s="27"/>
      <c r="Q190" s="27"/>
      <c r="R190" s="20"/>
    </row>
    <row r="191" spans="1:3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6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20"/>
    </row>
    <row r="194" spans="1:44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20"/>
    </row>
    <row r="195" spans="1:44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26</v>
      </c>
      <c r="I195" s="1">
        <v>18</v>
      </c>
      <c r="J195" s="44">
        <v>18</v>
      </c>
      <c r="K195" s="27">
        <f t="shared" si="6"/>
        <v>16538.14</v>
      </c>
      <c r="L195" s="27">
        <v>16538.14</v>
      </c>
      <c r="M195" s="27"/>
      <c r="N195" s="1">
        <v>3</v>
      </c>
      <c r="O195" s="27">
        <f t="shared" si="7"/>
        <v>14077.71</v>
      </c>
      <c r="P195" s="27">
        <v>14077.71</v>
      </c>
      <c r="Q195" s="27"/>
      <c r="R195" s="20"/>
    </row>
    <row r="196" spans="1:44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20"/>
    </row>
    <row r="197" spans="1:44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15</v>
      </c>
      <c r="I197" s="1">
        <v>6</v>
      </c>
      <c r="J197" s="44">
        <v>6</v>
      </c>
      <c r="K197" s="27">
        <f t="shared" si="6"/>
        <v>0</v>
      </c>
      <c r="L197" s="27"/>
      <c r="M197" s="27"/>
      <c r="N197" s="1">
        <v>21</v>
      </c>
      <c r="O197" s="27">
        <f t="shared" si="7"/>
        <v>5636.46</v>
      </c>
      <c r="P197" s="27">
        <f>2707.13+2929.33</f>
        <v>5636.46</v>
      </c>
      <c r="Q197" s="27"/>
      <c r="R197" s="20"/>
    </row>
    <row r="198" spans="1:44" s="7" customFormat="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/>
      <c r="Q198" s="27">
        <v>5462.2</v>
      </c>
      <c r="R198" s="20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44" s="14" customFormat="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>
        <v>102</v>
      </c>
      <c r="B200" s="60" t="s">
        <v>119</v>
      </c>
      <c r="C200" s="46" t="s">
        <v>18</v>
      </c>
      <c r="D200" s="60"/>
      <c r="E200" s="60" t="s">
        <v>19</v>
      </c>
      <c r="F200" s="60" t="s">
        <v>120</v>
      </c>
      <c r="G200" s="60" t="s">
        <v>122</v>
      </c>
      <c r="H200" s="61">
        <v>0</v>
      </c>
      <c r="I200" s="32"/>
      <c r="J200" s="62"/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>
        <v>103</v>
      </c>
      <c r="B201" s="60" t="s">
        <v>325</v>
      </c>
      <c r="C201" s="46" t="s">
        <v>18</v>
      </c>
      <c r="D201" s="60"/>
      <c r="E201" s="60" t="s">
        <v>36</v>
      </c>
      <c r="F201" s="60" t="s">
        <v>446</v>
      </c>
      <c r="G201" s="60" t="s">
        <v>142</v>
      </c>
      <c r="H201" s="61">
        <v>7</v>
      </c>
      <c r="I201" s="32">
        <v>2</v>
      </c>
      <c r="J201" s="86">
        <v>2</v>
      </c>
      <c r="K201" s="27">
        <f t="shared" si="6"/>
        <v>0</v>
      </c>
      <c r="L201" s="63"/>
      <c r="M201" s="63"/>
      <c r="N201" s="32"/>
      <c r="O201" s="63">
        <v>0</v>
      </c>
      <c r="P201" s="63"/>
      <c r="Q201" s="63"/>
      <c r="R201" s="20"/>
      <c r="AM201" s="4"/>
      <c r="AN201" s="4"/>
      <c r="AO201" s="4"/>
      <c r="AP201" s="4"/>
      <c r="AQ201" s="4"/>
      <c r="AR201" s="4"/>
    </row>
    <row r="202" spans="1:44" s="14" customFormat="1" ht="27" customHeight="1">
      <c r="A202" s="46"/>
      <c r="B202" s="23" t="s">
        <v>325</v>
      </c>
      <c r="C202" s="24" t="s">
        <v>18</v>
      </c>
      <c r="D202" s="23"/>
      <c r="E202" s="23" t="s">
        <v>36</v>
      </c>
      <c r="F202" s="23" t="s">
        <v>369</v>
      </c>
      <c r="G202" s="23" t="s">
        <v>124</v>
      </c>
      <c r="H202" s="25">
        <v>1</v>
      </c>
      <c r="I202" s="2"/>
      <c r="J202" s="26"/>
      <c r="K202" s="27">
        <f t="shared" si="6"/>
        <v>0</v>
      </c>
      <c r="L202" s="27"/>
      <c r="M202" s="27"/>
      <c r="N202" s="2"/>
      <c r="O202" s="27">
        <v>0</v>
      </c>
      <c r="P202" s="27"/>
      <c r="Q202" s="27"/>
      <c r="R202" s="20"/>
      <c r="AM202" s="4"/>
      <c r="AN202" s="4"/>
      <c r="AO202" s="4"/>
      <c r="AP202" s="4"/>
      <c r="AQ202" s="4"/>
      <c r="AR202" s="4"/>
    </row>
    <row r="203" spans="1:44" s="14" customFormat="1" ht="18.75" customHeight="1" thickBot="1">
      <c r="A203" s="47"/>
      <c r="B203" s="48" t="s">
        <v>325</v>
      </c>
      <c r="C203" s="49" t="s">
        <v>18</v>
      </c>
      <c r="D203" s="48"/>
      <c r="E203" s="48" t="s">
        <v>370</v>
      </c>
      <c r="F203" s="48" t="s">
        <v>371</v>
      </c>
      <c r="G203" s="48" t="s">
        <v>136</v>
      </c>
      <c r="H203" s="50">
        <v>0</v>
      </c>
      <c r="I203" s="33"/>
      <c r="J203" s="51"/>
      <c r="K203" s="34">
        <f t="shared" si="6"/>
        <v>0</v>
      </c>
      <c r="L203" s="52"/>
      <c r="M203" s="52"/>
      <c r="N203" s="33"/>
      <c r="O203" s="52">
        <f>P203+Q203</f>
        <v>0</v>
      </c>
      <c r="P203" s="52"/>
      <c r="Q203" s="52"/>
      <c r="R203" s="20"/>
      <c r="AM203" s="4"/>
      <c r="AN203" s="4"/>
      <c r="AO203" s="4"/>
      <c r="AP203" s="4"/>
      <c r="AQ203" s="4"/>
      <c r="AR203" s="4"/>
    </row>
    <row r="204" spans="1:44" s="14" customFormat="1" ht="16.5" customHeight="1">
      <c r="A204" s="87" t="s">
        <v>145</v>
      </c>
      <c r="B204" s="87"/>
      <c r="C204" s="88"/>
      <c r="D204" s="89"/>
      <c r="E204" s="89"/>
      <c r="F204" s="89"/>
      <c r="G204" s="89"/>
      <c r="H204" s="88">
        <f>SUM(H10:H203)</f>
        <v>1361</v>
      </c>
      <c r="I204" s="88">
        <f>SUM(I10:I203)</f>
        <v>513</v>
      </c>
      <c r="J204" s="88">
        <f>SUM(J10:J203)</f>
        <v>533</v>
      </c>
      <c r="K204" s="90">
        <f>SUM(K10:K203)</f>
        <v>17066.739999999998</v>
      </c>
      <c r="L204" s="90">
        <f t="shared" ref="L204:Q204" si="8">SUM(L10:L203)</f>
        <v>17066.739999999998</v>
      </c>
      <c r="M204" s="88">
        <f t="shared" si="8"/>
        <v>0</v>
      </c>
      <c r="N204" s="88">
        <f t="shared" si="8"/>
        <v>735</v>
      </c>
      <c r="O204" s="90">
        <f>SUM(O10:O203)</f>
        <v>913250.86999999953</v>
      </c>
      <c r="P204" s="90">
        <f>SUM(P10:P203)</f>
        <v>904780.18999999959</v>
      </c>
      <c r="Q204" s="88">
        <f t="shared" si="8"/>
        <v>8470.68</v>
      </c>
      <c r="R204" s="20"/>
      <c r="AM204" s="4"/>
      <c r="AN204" s="4"/>
      <c r="AO204" s="4"/>
      <c r="AP204" s="4"/>
      <c r="AQ204" s="4"/>
      <c r="AR204" s="4"/>
    </row>
    <row r="205" spans="1:44" s="14" customFormat="1" ht="15" customHeight="1">
      <c r="A205" s="5"/>
      <c r="B205" s="6"/>
      <c r="C205" s="5"/>
      <c r="D205" s="6"/>
      <c r="E205" s="6"/>
      <c r="F205" s="6"/>
      <c r="G205" s="6"/>
      <c r="H205" s="9"/>
      <c r="I205" s="9"/>
      <c r="J205" s="9"/>
      <c r="K205" s="9"/>
      <c r="L205" s="9"/>
      <c r="M205" s="11"/>
      <c r="N205" s="9"/>
      <c r="O205" s="9"/>
      <c r="P205" s="5"/>
      <c r="Q205" s="13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12"/>
      <c r="N206" s="4"/>
      <c r="O206" s="4"/>
      <c r="P206" s="4"/>
      <c r="Q206" s="12"/>
      <c r="R206" s="20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9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15"/>
      <c r="O208" s="15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15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2"/>
      <c r="N211" s="4"/>
      <c r="O211" s="4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15"/>
      <c r="M212" s="12"/>
      <c r="N212" s="4"/>
      <c r="O212" s="4"/>
      <c r="P212" s="4"/>
      <c r="Q212" s="12"/>
      <c r="AM212" s="4"/>
      <c r="AN212" s="4"/>
      <c r="AO212" s="4"/>
      <c r="AP212" s="4"/>
      <c r="AQ212" s="4"/>
      <c r="AR212" s="4"/>
    </row>
    <row r="219" spans="1:44" s="12" customForma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15"/>
      <c r="N219" s="4"/>
      <c r="O219" s="4"/>
      <c r="P219" s="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4"/>
      <c r="AN219" s="4"/>
      <c r="AO219" s="4"/>
      <c r="AP219" s="4"/>
      <c r="AQ219" s="4"/>
      <c r="AR219" s="4"/>
    </row>
  </sheetData>
  <mergeCells count="8">
    <mergeCell ref="A204:B204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R219"/>
  <sheetViews>
    <sheetView topLeftCell="E191" zoomScale="90" zoomScaleNormal="90" workbookViewId="0">
      <selection activeCell="H204" sqref="A7:Q204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13</v>
      </c>
      <c r="I11" s="1">
        <v>6</v>
      </c>
      <c r="J11" s="26">
        <v>6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7048</v>
      </c>
      <c r="P11" s="27">
        <v>7048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9</v>
      </c>
      <c r="I12" s="1">
        <v>1</v>
      </c>
      <c r="J12" s="26">
        <v>2</v>
      </c>
      <c r="K12" s="27">
        <f t="shared" si="2"/>
        <v>0</v>
      </c>
      <c r="L12" s="27"/>
      <c r="M12" s="27"/>
      <c r="N12" s="1">
        <v>6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8</v>
      </c>
      <c r="I14" s="1">
        <v>5</v>
      </c>
      <c r="J14" s="26">
        <v>9</v>
      </c>
      <c r="K14" s="27">
        <f t="shared" si="2"/>
        <v>0</v>
      </c>
      <c r="L14" s="27"/>
      <c r="M14" s="27"/>
      <c r="N14" s="1">
        <v>14</v>
      </c>
      <c r="O14" s="27">
        <f t="shared" si="1"/>
        <v>13242.79</v>
      </c>
      <c r="P14" s="27">
        <f>6380.54+898.62+5963.63</f>
        <v>13242.79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15</v>
      </c>
      <c r="I15" s="2">
        <v>8</v>
      </c>
      <c r="J15" s="26">
        <v>8</v>
      </c>
      <c r="K15" s="27">
        <f t="shared" si="2"/>
        <v>0</v>
      </c>
      <c r="L15" s="27"/>
      <c r="M15" s="27"/>
      <c r="N15" s="2">
        <v>11</v>
      </c>
      <c r="O15" s="27">
        <f t="shared" si="1"/>
        <v>6836.7</v>
      </c>
      <c r="P15" s="27">
        <v>6836.7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27</v>
      </c>
      <c r="I16" s="1">
        <v>17</v>
      </c>
      <c r="J16" s="26">
        <v>19</v>
      </c>
      <c r="K16" s="27">
        <f t="shared" si="2"/>
        <v>0</v>
      </c>
      <c r="L16" s="27"/>
      <c r="M16" s="27"/>
      <c r="N16" s="1">
        <v>18</v>
      </c>
      <c r="O16" s="27">
        <f t="shared" si="1"/>
        <v>28576.01</v>
      </c>
      <c r="P16" s="27">
        <f>9373.48+1765.32+2881.47+14555.74</f>
        <v>28576.01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24</v>
      </c>
      <c r="I20" s="1">
        <v>16</v>
      </c>
      <c r="J20" s="26">
        <v>17</v>
      </c>
      <c r="K20" s="27">
        <f t="shared" si="2"/>
        <v>0</v>
      </c>
      <c r="L20" s="27"/>
      <c r="M20" s="27"/>
      <c r="N20" s="1">
        <v>19</v>
      </c>
      <c r="O20" s="27">
        <f t="shared" si="1"/>
        <v>16199.25</v>
      </c>
      <c r="P20" s="27">
        <f>4072.37+2831.63+9295.25</f>
        <v>16199.25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2629.92</v>
      </c>
      <c r="Q22" s="27">
        <v>894.07999999999993</v>
      </c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6214.38</v>
      </c>
      <c r="P23" s="27">
        <f>488+2791.37+2935.01</f>
        <v>6214.38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9</v>
      </c>
      <c r="I26" s="1">
        <v>5</v>
      </c>
      <c r="J26" s="44">
        <v>5</v>
      </c>
      <c r="K26" s="27">
        <f t="shared" si="2"/>
        <v>0</v>
      </c>
      <c r="L26" s="27"/>
      <c r="M26" s="27"/>
      <c r="N26" s="1">
        <v>1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3</v>
      </c>
      <c r="O27" s="27">
        <f t="shared" si="1"/>
        <v>3364.54</v>
      </c>
      <c r="P27" s="27">
        <v>3364.54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1</v>
      </c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16</v>
      </c>
      <c r="I29" s="1">
        <v>5</v>
      </c>
      <c r="J29" s="26">
        <v>5</v>
      </c>
      <c r="K29" s="27">
        <f t="shared" si="2"/>
        <v>0</v>
      </c>
      <c r="L29" s="27"/>
      <c r="M29" s="27"/>
      <c r="N29" s="1">
        <v>5</v>
      </c>
      <c r="O29" s="27">
        <f t="shared" si="1"/>
        <v>11735.84</v>
      </c>
      <c r="P29" s="27">
        <f>1585.49+7579.12+718.9+1852.33</f>
        <v>11735.84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5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2</v>
      </c>
      <c r="J31" s="26">
        <v>2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14</v>
      </c>
      <c r="I32" s="1">
        <v>8</v>
      </c>
      <c r="J32" s="26">
        <v>9</v>
      </c>
      <c r="K32" s="27">
        <f t="shared" si="2"/>
        <v>0</v>
      </c>
      <c r="L32" s="27"/>
      <c r="M32" s="27"/>
      <c r="N32" s="1">
        <v>10</v>
      </c>
      <c r="O32" s="27">
        <f t="shared" si="1"/>
        <v>26399.21</v>
      </c>
      <c r="P32" s="27">
        <f>8353.67+11335.86+6709.68</f>
        <v>26399.21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3</v>
      </c>
      <c r="I33" s="2"/>
      <c r="J33" s="26"/>
      <c r="K33" s="27">
        <f t="shared" si="2"/>
        <v>0</v>
      </c>
      <c r="L33" s="27"/>
      <c r="M33" s="27"/>
      <c r="N33" s="2">
        <v>3</v>
      </c>
      <c r="O33" s="27">
        <f t="shared" si="1"/>
        <v>2995.4</v>
      </c>
      <c r="P33" s="27">
        <v>881</v>
      </c>
      <c r="Q33" s="27">
        <v>2114.4</v>
      </c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9</v>
      </c>
      <c r="I35" s="1"/>
      <c r="J35" s="26"/>
      <c r="K35" s="27">
        <f t="shared" si="2"/>
        <v>0</v>
      </c>
      <c r="L35" s="27"/>
      <c r="M35" s="27"/>
      <c r="N35" s="1">
        <v>5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10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7284.47</v>
      </c>
      <c r="P36" s="27">
        <f>7284.47</f>
        <v>7284.47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10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11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15812.21</v>
      </c>
      <c r="P38" s="27">
        <f>984.25+2870.5+11957.46</f>
        <v>15812.21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11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1</v>
      </c>
      <c r="J40" s="26">
        <v>1</v>
      </c>
      <c r="K40" s="27">
        <f t="shared" si="2"/>
        <v>0</v>
      </c>
      <c r="L40" s="27"/>
      <c r="M40" s="27"/>
      <c r="N40" s="1">
        <v>1</v>
      </c>
      <c r="O40" s="27">
        <f t="shared" si="1"/>
        <v>3986.12</v>
      </c>
      <c r="P40" s="27">
        <f>1233.4+2752.72</f>
        <v>3986.12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6</v>
      </c>
      <c r="I41" s="1"/>
      <c r="J41" s="26"/>
      <c r="K41" s="27">
        <f t="shared" si="2"/>
        <v>0</v>
      </c>
      <c r="L41" s="27"/>
      <c r="M41" s="27"/>
      <c r="N41" s="1">
        <v>2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16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958.09</v>
      </c>
      <c r="P44" s="27">
        <v>958.09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4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2</v>
      </c>
      <c r="I47" s="1"/>
      <c r="J47" s="26"/>
      <c r="K47" s="27">
        <f t="shared" si="2"/>
        <v>0</v>
      </c>
      <c r="L47" s="27"/>
      <c r="M47" s="27"/>
      <c r="N47" s="1">
        <v>5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10</v>
      </c>
      <c r="I48" s="1">
        <v>9</v>
      </c>
      <c r="J48" s="26">
        <v>9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5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12</v>
      </c>
      <c r="I50" s="1">
        <v>9</v>
      </c>
      <c r="J50" s="26">
        <v>9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7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13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27742.65</v>
      </c>
      <c r="P53" s="27">
        <f>10258.95+12559.55+4924.15</f>
        <v>27742.65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7</v>
      </c>
      <c r="I54" s="2"/>
      <c r="J54" s="26"/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7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12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16</v>
      </c>
      <c r="I59" s="82">
        <v>9</v>
      </c>
      <c r="J59" s="26">
        <v>9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23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9133</v>
      </c>
      <c r="P60" s="27">
        <f>2817.33+2170.4+4145.27</f>
        <v>9133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9</v>
      </c>
      <c r="J61" s="26">
        <v>9</v>
      </c>
      <c r="K61" s="27">
        <f t="shared" si="2"/>
        <v>0</v>
      </c>
      <c r="L61" s="27"/>
      <c r="M61" s="27"/>
      <c r="N61" s="1">
        <v>10</v>
      </c>
      <c r="O61" s="27">
        <f t="shared" si="1"/>
        <v>10101.32</v>
      </c>
      <c r="P61" s="27">
        <f>3558.78+6542.54</f>
        <v>10101.32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2</v>
      </c>
      <c r="J62" s="26">
        <v>2</v>
      </c>
      <c r="K62" s="27">
        <f t="shared" si="2"/>
        <v>0</v>
      </c>
      <c r="L62" s="27"/>
      <c r="M62" s="27"/>
      <c r="N62" s="1">
        <v>6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12</v>
      </c>
      <c r="I63" s="1">
        <v>7</v>
      </c>
      <c r="J63" s="26">
        <v>7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12</v>
      </c>
      <c r="I64" s="1">
        <v>1</v>
      </c>
      <c r="J64" s="26">
        <v>1</v>
      </c>
      <c r="K64" s="27">
        <f t="shared" si="2"/>
        <v>0</v>
      </c>
      <c r="L64" s="27"/>
      <c r="M64" s="27"/>
      <c r="N64" s="1">
        <v>8</v>
      </c>
      <c r="O64" s="27">
        <f t="shared" si="1"/>
        <v>6537.02</v>
      </c>
      <c r="P64" s="27">
        <v>6537.02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11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9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7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4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16</v>
      </c>
      <c r="I70" s="2">
        <v>6</v>
      </c>
      <c r="J70" s="26">
        <v>6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22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15</v>
      </c>
      <c r="I73" s="1">
        <v>9</v>
      </c>
      <c r="J73" s="26">
        <v>9</v>
      </c>
      <c r="K73" s="27">
        <f t="shared" si="2"/>
        <v>0</v>
      </c>
      <c r="L73" s="27"/>
      <c r="M73" s="27"/>
      <c r="N73" s="1">
        <v>6</v>
      </c>
      <c r="O73" s="27">
        <f t="shared" si="1"/>
        <v>21507.190000000002</v>
      </c>
      <c r="P73" s="27">
        <f>4688.79+16818.4</f>
        <v>21507.190000000002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7</v>
      </c>
      <c r="I75" s="1"/>
      <c r="J75" s="26"/>
      <c r="K75" s="27">
        <f t="shared" si="2"/>
        <v>0</v>
      </c>
      <c r="L75" s="27"/>
      <c r="M75" s="27"/>
      <c r="N75" s="1">
        <v>7</v>
      </c>
      <c r="O75" s="27">
        <f t="shared" si="1"/>
        <v>9024.58</v>
      </c>
      <c r="P75" s="27">
        <v>9024.58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10</v>
      </c>
      <c r="I77" s="1">
        <v>6</v>
      </c>
      <c r="J77" s="26">
        <v>6</v>
      </c>
      <c r="K77" s="27">
        <f t="shared" si="2"/>
        <v>0</v>
      </c>
      <c r="L77" s="27"/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8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4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3</v>
      </c>
      <c r="I80" s="1"/>
      <c r="J80" s="26"/>
      <c r="K80" s="27">
        <f t="shared" si="2"/>
        <v>0</v>
      </c>
      <c r="L80" s="27"/>
      <c r="M80" s="27"/>
      <c r="N80" s="1">
        <v>9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0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37</v>
      </c>
      <c r="I83" s="1">
        <v>23</v>
      </c>
      <c r="J83" s="26">
        <v>23</v>
      </c>
      <c r="K83" s="27">
        <f t="shared" si="2"/>
        <v>0</v>
      </c>
      <c r="L83" s="27"/>
      <c r="M83" s="27"/>
      <c r="N83" s="1">
        <v>2</v>
      </c>
      <c r="O83" s="27">
        <f t="shared" si="1"/>
        <v>6215.87</v>
      </c>
      <c r="P83" s="27">
        <v>6215.87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477.41</v>
      </c>
      <c r="P84" s="27">
        <v>477.41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22</v>
      </c>
      <c r="I86" s="1">
        <v>18</v>
      </c>
      <c r="J86" s="26">
        <v>18</v>
      </c>
      <c r="K86" s="27">
        <f t="shared" ref="K86:K154" si="3">L86+M86</f>
        <v>0</v>
      </c>
      <c r="L86" s="27"/>
      <c r="M86" s="27"/>
      <c r="N86" s="1">
        <v>11</v>
      </c>
      <c r="O86" s="27">
        <f t="shared" si="1"/>
        <v>12540.810000000001</v>
      </c>
      <c r="P86" s="27">
        <f>1369.13+3431.04+7740.64</f>
        <v>12540.810000000001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7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14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3</v>
      </c>
      <c r="J92" s="26">
        <v>3</v>
      </c>
      <c r="K92" s="27">
        <f t="shared" si="3"/>
        <v>0</v>
      </c>
      <c r="L92" s="27"/>
      <c r="M92" s="27"/>
      <c r="N92" s="2">
        <v>17</v>
      </c>
      <c r="O92" s="27">
        <f t="shared" si="1"/>
        <v>0</v>
      </c>
      <c r="P92" s="27"/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18</v>
      </c>
      <c r="I101" s="1">
        <v>10</v>
      </c>
      <c r="J101" s="26">
        <v>10</v>
      </c>
      <c r="K101" s="27">
        <f t="shared" si="3"/>
        <v>0</v>
      </c>
      <c r="L101" s="27"/>
      <c r="M101" s="27"/>
      <c r="N101" s="1">
        <v>9</v>
      </c>
      <c r="O101" s="27">
        <f t="shared" si="4"/>
        <v>12594.32</v>
      </c>
      <c r="P101" s="27">
        <f>8926.48+3667.84</f>
        <v>12594.32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7</v>
      </c>
      <c r="I102" s="1">
        <v>4</v>
      </c>
      <c r="J102" s="26">
        <v>4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10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13</v>
      </c>
      <c r="I105" s="1">
        <v>5</v>
      </c>
      <c r="J105" s="26">
        <v>5</v>
      </c>
      <c r="K105" s="27">
        <f t="shared" si="3"/>
        <v>0</v>
      </c>
      <c r="L105" s="27"/>
      <c r="M105" s="27"/>
      <c r="N105" s="1">
        <v>17</v>
      </c>
      <c r="O105" s="27">
        <f>P105+Q105</f>
        <v>25135.54</v>
      </c>
      <c r="P105" s="27">
        <f>7142.66+6007.6+11985.28</f>
        <v>25135.54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10</v>
      </c>
      <c r="I106" s="1"/>
      <c r="J106" s="26"/>
      <c r="K106" s="27">
        <f t="shared" si="3"/>
        <v>0</v>
      </c>
      <c r="L106" s="27"/>
      <c r="M106" s="27"/>
      <c r="N106" s="1">
        <v>6</v>
      </c>
      <c r="O106" s="27">
        <f>P106+Q106</f>
        <v>3171.6</v>
      </c>
      <c r="P106" s="27">
        <v>3171.6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14</v>
      </c>
      <c r="I107" s="2">
        <v>2</v>
      </c>
      <c r="J107" s="26">
        <v>2</v>
      </c>
      <c r="K107" s="27">
        <f t="shared" si="3"/>
        <v>0</v>
      </c>
      <c r="L107" s="27"/>
      <c r="M107" s="27"/>
      <c r="N107" s="2">
        <v>23</v>
      </c>
      <c r="O107" s="27">
        <f>P107+Q107</f>
        <v>39612.51</v>
      </c>
      <c r="P107" s="35">
        <v>39612.51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7</v>
      </c>
      <c r="I109" s="2">
        <v>1</v>
      </c>
      <c r="J109" s="26">
        <v>1</v>
      </c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4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11</v>
      </c>
      <c r="I111" s="2">
        <v>7</v>
      </c>
      <c r="J111" s="26">
        <v>7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11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8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18</v>
      </c>
      <c r="I114" s="1">
        <v>16</v>
      </c>
      <c r="J114" s="26">
        <v>16</v>
      </c>
      <c r="K114" s="27">
        <f t="shared" si="3"/>
        <v>0</v>
      </c>
      <c r="L114" s="27"/>
      <c r="M114" s="27"/>
      <c r="N114" s="1">
        <v>6</v>
      </c>
      <c r="O114" s="27">
        <f t="shared" si="4"/>
        <v>19052.240000000002</v>
      </c>
      <c r="P114" s="27">
        <f>3646.63+15405.61</f>
        <v>19052.240000000002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17</v>
      </c>
      <c r="I118" s="1">
        <v>15</v>
      </c>
      <c r="J118" s="26">
        <v>16</v>
      </c>
      <c r="K118" s="27">
        <f t="shared" si="3"/>
        <v>0</v>
      </c>
      <c r="L118" s="27"/>
      <c r="M118" s="27"/>
      <c r="N118" s="1">
        <v>8</v>
      </c>
      <c r="O118" s="27">
        <f t="shared" si="4"/>
        <v>3333.95</v>
      </c>
      <c r="P118" s="27">
        <v>3333.95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13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4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5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5739.96</v>
      </c>
      <c r="P124" s="27">
        <f>2479.17+3260.79</f>
        <v>5739.96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1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18</v>
      </c>
      <c r="I126" s="1">
        <v>10</v>
      </c>
      <c r="J126" s="26">
        <v>10</v>
      </c>
      <c r="K126" s="27">
        <f t="shared" si="3"/>
        <v>0</v>
      </c>
      <c r="L126" s="27"/>
      <c r="M126" s="27"/>
      <c r="N126" s="1">
        <v>8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37</v>
      </c>
      <c r="I128" s="1">
        <v>34</v>
      </c>
      <c r="J128" s="26">
        <v>34</v>
      </c>
      <c r="K128" s="27">
        <f t="shared" si="3"/>
        <v>0</v>
      </c>
      <c r="L128" s="27"/>
      <c r="M128" s="27"/>
      <c r="N128" s="1">
        <v>11</v>
      </c>
      <c r="O128" s="27">
        <f t="shared" si="4"/>
        <v>11436.490000000002</v>
      </c>
      <c r="P128" s="27">
        <f>4741.68+6694.81</f>
        <v>11436.490000000002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8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17</v>
      </c>
      <c r="I130" s="1">
        <v>13</v>
      </c>
      <c r="J130" s="26">
        <v>13</v>
      </c>
      <c r="K130" s="27">
        <f t="shared" si="3"/>
        <v>0</v>
      </c>
      <c r="L130" s="27"/>
      <c r="M130" s="27"/>
      <c r="N130" s="1">
        <v>10</v>
      </c>
      <c r="O130" s="27">
        <f t="shared" si="4"/>
        <v>12289.49</v>
      </c>
      <c r="P130" s="27">
        <f>919.46+2791.44+2825.9+1143.1+4609.59</f>
        <v>12289.49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19</v>
      </c>
      <c r="I132" s="1">
        <v>6</v>
      </c>
      <c r="J132" s="26">
        <v>6</v>
      </c>
      <c r="K132" s="27">
        <f t="shared" si="3"/>
        <v>0</v>
      </c>
      <c r="L132" s="27"/>
      <c r="M132" s="27"/>
      <c r="N132" s="1">
        <v>15</v>
      </c>
      <c r="O132" s="27">
        <f t="shared" si="4"/>
        <v>18168.28</v>
      </c>
      <c r="P132" s="27">
        <f>6606.63+11561.65</f>
        <v>18168.28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2</v>
      </c>
      <c r="J133" s="26">
        <v>2</v>
      </c>
      <c r="K133" s="27">
        <f t="shared" si="3"/>
        <v>0</v>
      </c>
      <c r="L133" s="27"/>
      <c r="M133" s="27"/>
      <c r="N133" s="1">
        <v>5</v>
      </c>
      <c r="O133" s="27">
        <f t="shared" si="4"/>
        <v>925.06</v>
      </c>
      <c r="P133" s="27">
        <v>925.06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18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10</v>
      </c>
      <c r="O134" s="27">
        <f t="shared" si="4"/>
        <v>20511.48</v>
      </c>
      <c r="P134" s="27">
        <f>1359.87+2464.36+5364.57+11322.68</f>
        <v>20511.48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1</v>
      </c>
      <c r="I135" s="1"/>
      <c r="J135" s="26"/>
      <c r="K135" s="27">
        <f t="shared" si="3"/>
        <v>0</v>
      </c>
      <c r="L135" s="27"/>
      <c r="M135" s="27"/>
      <c r="N135" s="1">
        <v>3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18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10</v>
      </c>
      <c r="I138" s="1">
        <v>6</v>
      </c>
      <c r="J138" s="26">
        <v>6</v>
      </c>
      <c r="K138" s="27">
        <f t="shared" si="3"/>
        <v>0</v>
      </c>
      <c r="L138" s="27"/>
      <c r="M138" s="27"/>
      <c r="N138" s="1">
        <v>9</v>
      </c>
      <c r="O138" s="27">
        <f t="shared" si="4"/>
        <v>4178.6100000000006</v>
      </c>
      <c r="P138" s="27">
        <f>1217+2961.61</f>
        <v>4178.6100000000006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6</v>
      </c>
      <c r="I139" s="1"/>
      <c r="J139" s="26"/>
      <c r="K139" s="27">
        <f t="shared" si="3"/>
        <v>0</v>
      </c>
      <c r="L139" s="27"/>
      <c r="M139" s="27"/>
      <c r="N139" s="1">
        <v>4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6</v>
      </c>
      <c r="I140" s="1">
        <v>5</v>
      </c>
      <c r="J140" s="26">
        <v>5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6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0</v>
      </c>
      <c r="P141" s="27"/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0</v>
      </c>
      <c r="P142" s="27"/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2431.56</v>
      </c>
      <c r="P143" s="27">
        <f>2431.56</f>
        <v>2431.56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7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7</v>
      </c>
      <c r="I146" s="1">
        <v>4</v>
      </c>
      <c r="J146" s="26">
        <v>5</v>
      </c>
      <c r="K146" s="27">
        <f t="shared" si="3"/>
        <v>0</v>
      </c>
      <c r="L146" s="27"/>
      <c r="M146" s="27"/>
      <c r="N146" s="1">
        <v>2</v>
      </c>
      <c r="O146" s="27">
        <f t="shared" si="4"/>
        <v>0</v>
      </c>
      <c r="P146" s="27"/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15</v>
      </c>
      <c r="I148" s="1"/>
      <c r="J148" s="26"/>
      <c r="K148" s="27">
        <f t="shared" si="3"/>
        <v>528.6</v>
      </c>
      <c r="L148" s="27">
        <v>528.6</v>
      </c>
      <c r="M148" s="27"/>
      <c r="N148" s="1">
        <v>4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28</v>
      </c>
      <c r="I149" s="1">
        <v>12</v>
      </c>
      <c r="J149" s="26">
        <v>17</v>
      </c>
      <c r="K149" s="27">
        <f t="shared" si="3"/>
        <v>0</v>
      </c>
      <c r="L149" s="27"/>
      <c r="M149" s="27"/>
      <c r="N149" s="1">
        <v>7</v>
      </c>
      <c r="O149" s="27">
        <f t="shared" si="4"/>
        <v>5675.37</v>
      </c>
      <c r="P149" s="27">
        <v>5675.37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5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5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1639.99</v>
      </c>
      <c r="P152" s="27">
        <v>1639.99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8</v>
      </c>
      <c r="I154" s="1">
        <v>1</v>
      </c>
      <c r="J154" s="26">
        <v>1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5</v>
      </c>
      <c r="I155" s="1"/>
      <c r="J155" s="26"/>
      <c r="K155" s="27">
        <f t="shared" ref="K155:K203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11</v>
      </c>
      <c r="I157" s="1">
        <v>9</v>
      </c>
      <c r="J157" s="26">
        <v>10</v>
      </c>
      <c r="K157" s="27">
        <f t="shared" si="6"/>
        <v>0</v>
      </c>
      <c r="L157" s="27"/>
      <c r="M157" s="27"/>
      <c r="N157" s="1">
        <v>6</v>
      </c>
      <c r="O157" s="27">
        <f t="shared" si="4"/>
        <v>7470.42</v>
      </c>
      <c r="P157" s="27">
        <f>887.45+1225.31+5357.66</f>
        <v>7470.42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6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7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1</v>
      </c>
      <c r="I165" s="40"/>
      <c r="J165" s="43"/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12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7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7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6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9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5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2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17</v>
      </c>
      <c r="O178" s="27">
        <f t="shared" si="4"/>
        <v>0</v>
      </c>
      <c r="P178" s="27"/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22</v>
      </c>
      <c r="I179" s="1">
        <v>15</v>
      </c>
      <c r="J179" s="26">
        <v>15</v>
      </c>
      <c r="K179" s="27">
        <f t="shared" si="6"/>
        <v>0</v>
      </c>
      <c r="L179" s="27"/>
      <c r="M179" s="27"/>
      <c r="N179" s="1">
        <v>6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6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2891.29</v>
      </c>
      <c r="P181" s="27">
        <v>2891.29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30</v>
      </c>
      <c r="I182" s="1">
        <v>20</v>
      </c>
      <c r="J182" s="26">
        <v>20</v>
      </c>
      <c r="K182" s="27">
        <f t="shared" si="6"/>
        <v>0</v>
      </c>
      <c r="L182" s="27"/>
      <c r="M182" s="27"/>
      <c r="N182" s="1">
        <v>17</v>
      </c>
      <c r="O182" s="27">
        <f t="shared" si="4"/>
        <v>46423.69</v>
      </c>
      <c r="P182" s="27">
        <f>8759.8+505.2+4743.98+1370.7+8567.35+22476.66</f>
        <v>46423.69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18</v>
      </c>
      <c r="I183" s="1">
        <v>1</v>
      </c>
      <c r="J183" s="26">
        <v>1</v>
      </c>
      <c r="K183" s="27">
        <f t="shared" si="6"/>
        <v>0</v>
      </c>
      <c r="L183" s="27"/>
      <c r="M183" s="27"/>
      <c r="N183" s="1">
        <v>14</v>
      </c>
      <c r="O183" s="27">
        <f t="shared" si="4"/>
        <v>13395.22</v>
      </c>
      <c r="P183" s="27">
        <v>13395.22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20"/>
    </row>
    <row r="186" spans="1:3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20"/>
    </row>
    <row r="187" spans="1:3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15</v>
      </c>
      <c r="I187" s="1">
        <v>2</v>
      </c>
      <c r="J187" s="26">
        <v>2</v>
      </c>
      <c r="K187" s="27">
        <f t="shared" si="6"/>
        <v>0</v>
      </c>
      <c r="L187" s="27"/>
      <c r="M187" s="27"/>
      <c r="N187" s="1">
        <v>13</v>
      </c>
      <c r="O187" s="27">
        <f t="shared" si="4"/>
        <v>19987.7</v>
      </c>
      <c r="P187" s="27">
        <v>19987.7</v>
      </c>
      <c r="Q187" s="27"/>
      <c r="R187" s="20"/>
    </row>
    <row r="188" spans="1:3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5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20"/>
    </row>
    <row r="189" spans="1:3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7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9867.2000000000007</v>
      </c>
      <c r="P189" s="27">
        <v>9867.2000000000007</v>
      </c>
      <c r="Q189" s="27"/>
      <c r="R189" s="20"/>
    </row>
    <row r="190" spans="1:3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13</v>
      </c>
      <c r="I190" s="2">
        <v>10</v>
      </c>
      <c r="J190" s="26">
        <v>10</v>
      </c>
      <c r="K190" s="27"/>
      <c r="L190" s="27"/>
      <c r="M190" s="27"/>
      <c r="N190" s="2"/>
      <c r="O190" s="27"/>
      <c r="P190" s="27"/>
      <c r="Q190" s="27"/>
      <c r="R190" s="20"/>
    </row>
    <row r="191" spans="1:3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6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20"/>
    </row>
    <row r="194" spans="1:44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20"/>
    </row>
    <row r="195" spans="1:44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27</v>
      </c>
      <c r="I195" s="1">
        <v>18</v>
      </c>
      <c r="J195" s="44">
        <v>18</v>
      </c>
      <c r="K195" s="27">
        <f t="shared" si="6"/>
        <v>16538.14</v>
      </c>
      <c r="L195" s="27">
        <v>16538.14</v>
      </c>
      <c r="M195" s="27"/>
      <c r="N195" s="1">
        <v>3</v>
      </c>
      <c r="O195" s="27">
        <f t="shared" si="7"/>
        <v>14077.71</v>
      </c>
      <c r="P195" s="27">
        <v>14077.71</v>
      </c>
      <c r="Q195" s="27"/>
      <c r="R195" s="20"/>
    </row>
    <row r="196" spans="1:44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20"/>
    </row>
    <row r="197" spans="1:44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16</v>
      </c>
      <c r="I197" s="1">
        <v>6</v>
      </c>
      <c r="J197" s="44">
        <v>6</v>
      </c>
      <c r="K197" s="27">
        <f t="shared" si="6"/>
        <v>0</v>
      </c>
      <c r="L197" s="27"/>
      <c r="M197" s="27"/>
      <c r="N197" s="1">
        <v>21</v>
      </c>
      <c r="O197" s="27">
        <f t="shared" si="7"/>
        <v>5636.46</v>
      </c>
      <c r="P197" s="27">
        <f>2707.13+2929.33</f>
        <v>5636.46</v>
      </c>
      <c r="Q197" s="27"/>
      <c r="R197" s="20"/>
    </row>
    <row r="198" spans="1:44" s="7" customFormat="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4800</v>
      </c>
      <c r="Q198" s="27">
        <v>662.2</v>
      </c>
      <c r="R198" s="20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44" s="14" customFormat="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>
        <v>102</v>
      </c>
      <c r="B200" s="60" t="s">
        <v>119</v>
      </c>
      <c r="C200" s="46" t="s">
        <v>18</v>
      </c>
      <c r="D200" s="60"/>
      <c r="E200" s="60" t="s">
        <v>19</v>
      </c>
      <c r="F200" s="60" t="s">
        <v>120</v>
      </c>
      <c r="G200" s="60" t="s">
        <v>122</v>
      </c>
      <c r="H200" s="61">
        <v>0</v>
      </c>
      <c r="I200" s="32"/>
      <c r="J200" s="62"/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>
        <v>103</v>
      </c>
      <c r="B201" s="60" t="s">
        <v>325</v>
      </c>
      <c r="C201" s="46" t="s">
        <v>18</v>
      </c>
      <c r="D201" s="60"/>
      <c r="E201" s="60" t="s">
        <v>36</v>
      </c>
      <c r="F201" s="60" t="s">
        <v>446</v>
      </c>
      <c r="G201" s="60" t="s">
        <v>142</v>
      </c>
      <c r="H201" s="61">
        <v>7</v>
      </c>
      <c r="I201" s="32">
        <v>2</v>
      </c>
      <c r="J201" s="86">
        <v>2</v>
      </c>
      <c r="K201" s="27">
        <f t="shared" si="6"/>
        <v>0</v>
      </c>
      <c r="L201" s="63"/>
      <c r="M201" s="63"/>
      <c r="N201" s="32"/>
      <c r="O201" s="63">
        <v>0</v>
      </c>
      <c r="P201" s="63"/>
      <c r="Q201" s="63"/>
      <c r="R201" s="20"/>
      <c r="AM201" s="4"/>
      <c r="AN201" s="4"/>
      <c r="AO201" s="4"/>
      <c r="AP201" s="4"/>
      <c r="AQ201" s="4"/>
      <c r="AR201" s="4"/>
    </row>
    <row r="202" spans="1:44" s="14" customFormat="1" ht="27" customHeight="1">
      <c r="A202" s="46"/>
      <c r="B202" s="23" t="s">
        <v>325</v>
      </c>
      <c r="C202" s="24" t="s">
        <v>18</v>
      </c>
      <c r="D202" s="23"/>
      <c r="E202" s="23" t="s">
        <v>36</v>
      </c>
      <c r="F202" s="23" t="s">
        <v>369</v>
      </c>
      <c r="G202" s="23" t="s">
        <v>124</v>
      </c>
      <c r="H202" s="25">
        <v>0</v>
      </c>
      <c r="I202" s="2"/>
      <c r="J202" s="26"/>
      <c r="K202" s="27">
        <f t="shared" si="6"/>
        <v>0</v>
      </c>
      <c r="L202" s="27"/>
      <c r="M202" s="27"/>
      <c r="N202" s="2"/>
      <c r="O202" s="27">
        <v>0</v>
      </c>
      <c r="P202" s="27"/>
      <c r="Q202" s="27"/>
      <c r="R202" s="20"/>
      <c r="AM202" s="4"/>
      <c r="AN202" s="4"/>
      <c r="AO202" s="4"/>
      <c r="AP202" s="4"/>
      <c r="AQ202" s="4"/>
      <c r="AR202" s="4"/>
    </row>
    <row r="203" spans="1:44" s="14" customFormat="1" ht="18.75" customHeight="1" thickBot="1">
      <c r="A203" s="47"/>
      <c r="B203" s="48" t="s">
        <v>325</v>
      </c>
      <c r="C203" s="49" t="s">
        <v>18</v>
      </c>
      <c r="D203" s="48"/>
      <c r="E203" s="48" t="s">
        <v>370</v>
      </c>
      <c r="F203" s="48" t="s">
        <v>371</v>
      </c>
      <c r="G203" s="48" t="s">
        <v>136</v>
      </c>
      <c r="H203" s="50">
        <v>1</v>
      </c>
      <c r="I203" s="33"/>
      <c r="J203" s="51"/>
      <c r="K203" s="34">
        <f t="shared" si="6"/>
        <v>0</v>
      </c>
      <c r="L203" s="52"/>
      <c r="M203" s="52"/>
      <c r="N203" s="33"/>
      <c r="O203" s="52">
        <f>P203+Q203</f>
        <v>0</v>
      </c>
      <c r="P203" s="52"/>
      <c r="Q203" s="52"/>
      <c r="R203" s="20"/>
      <c r="AM203" s="4"/>
      <c r="AN203" s="4"/>
      <c r="AO203" s="4"/>
      <c r="AP203" s="4"/>
      <c r="AQ203" s="4"/>
      <c r="AR203" s="4"/>
    </row>
    <row r="204" spans="1:44" s="14" customFormat="1" ht="16.5" customHeight="1">
      <c r="A204" s="87" t="s">
        <v>145</v>
      </c>
      <c r="B204" s="87"/>
      <c r="C204" s="88"/>
      <c r="D204" s="89"/>
      <c r="E204" s="89"/>
      <c r="F204" s="89"/>
      <c r="G204" s="89"/>
      <c r="H204" s="88">
        <f>SUM(H10:H203)</f>
        <v>1413</v>
      </c>
      <c r="I204" s="88">
        <f>SUM(I10:I203)</f>
        <v>521</v>
      </c>
      <c r="J204" s="88">
        <f>SUM(J10:J203)</f>
        <v>541</v>
      </c>
      <c r="K204" s="90">
        <f>SUM(K10:K203)</f>
        <v>17066.739999999998</v>
      </c>
      <c r="L204" s="90">
        <f t="shared" ref="L204:Q204" si="8">SUM(L10:L203)</f>
        <v>17066.739999999998</v>
      </c>
      <c r="M204" s="88">
        <f t="shared" si="8"/>
        <v>0</v>
      </c>
      <c r="N204" s="88">
        <f t="shared" si="8"/>
        <v>746</v>
      </c>
      <c r="O204" s="90">
        <f>SUM(O10:O203)</f>
        <v>913250.86999999953</v>
      </c>
      <c r="P204" s="90">
        <f>SUM(P10:P203)</f>
        <v>909580.18999999959</v>
      </c>
      <c r="Q204" s="88">
        <f t="shared" si="8"/>
        <v>3670.6800000000003</v>
      </c>
      <c r="R204" s="20"/>
      <c r="AM204" s="4"/>
      <c r="AN204" s="4"/>
      <c r="AO204" s="4"/>
      <c r="AP204" s="4"/>
      <c r="AQ204" s="4"/>
      <c r="AR204" s="4"/>
    </row>
    <row r="205" spans="1:44" s="14" customFormat="1" ht="15" customHeight="1">
      <c r="A205" s="5"/>
      <c r="B205" s="6"/>
      <c r="C205" s="5"/>
      <c r="D205" s="6"/>
      <c r="E205" s="6"/>
      <c r="F205" s="6"/>
      <c r="G205" s="6"/>
      <c r="H205" s="9"/>
      <c r="I205" s="9"/>
      <c r="J205" s="9"/>
      <c r="K205" s="9"/>
      <c r="L205" s="9"/>
      <c r="M205" s="11"/>
      <c r="N205" s="9"/>
      <c r="O205" s="9"/>
      <c r="P205" s="5"/>
      <c r="Q205" s="13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12"/>
      <c r="N206" s="4"/>
      <c r="O206" s="4"/>
      <c r="P206" s="4"/>
      <c r="Q206" s="12"/>
      <c r="R206" s="20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9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15"/>
      <c r="O208" s="15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15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2"/>
      <c r="N211" s="4"/>
      <c r="O211" s="4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15"/>
      <c r="M212" s="12"/>
      <c r="N212" s="4"/>
      <c r="O212" s="4"/>
      <c r="P212" s="4"/>
      <c r="Q212" s="12"/>
      <c r="AM212" s="4"/>
      <c r="AN212" s="4"/>
      <c r="AO212" s="4"/>
      <c r="AP212" s="4"/>
      <c r="AQ212" s="4"/>
      <c r="AR212" s="4"/>
    </row>
    <row r="219" spans="1:44" s="12" customForma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15"/>
      <c r="N219" s="4"/>
      <c r="O219" s="4"/>
      <c r="P219" s="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4"/>
      <c r="AN219" s="4"/>
      <c r="AO219" s="4"/>
      <c r="AP219" s="4"/>
      <c r="AQ219" s="4"/>
      <c r="AR219" s="4"/>
    </row>
  </sheetData>
  <mergeCells count="8">
    <mergeCell ref="A204:B204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R183"/>
  <sheetViews>
    <sheetView topLeftCell="D152" zoomScale="79" zoomScaleNormal="79" workbookViewId="0">
      <selection activeCell="G159" sqref="A7:Q168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f t="shared" si="0"/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3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0</v>
      </c>
      <c r="I11" s="1"/>
      <c r="J11" s="26"/>
      <c r="K11" s="27">
        <f t="shared" ref="K11:K76" si="2">L11+M11</f>
        <v>0</v>
      </c>
      <c r="L11" s="27"/>
      <c r="M11" s="27"/>
      <c r="N11" s="1"/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3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292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1</v>
      </c>
      <c r="I14" s="1"/>
      <c r="J14" s="26"/>
      <c r="K14" s="27">
        <f t="shared" si="2"/>
        <v>0</v>
      </c>
      <c r="L14" s="27"/>
      <c r="M14" s="27"/>
      <c r="N14" s="1"/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268</v>
      </c>
      <c r="G15" s="23" t="s">
        <v>136</v>
      </c>
      <c r="H15" s="25">
        <v>0</v>
      </c>
      <c r="I15" s="2"/>
      <c r="J15" s="26"/>
      <c r="K15" s="27">
        <f t="shared" si="2"/>
        <v>0</v>
      </c>
      <c r="L15" s="27"/>
      <c r="M15" s="27"/>
      <c r="N15" s="2"/>
      <c r="O15" s="27">
        <f t="shared" si="1"/>
        <v>0</v>
      </c>
      <c r="P15" s="27"/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24</v>
      </c>
      <c r="F16" s="23" t="s">
        <v>120</v>
      </c>
      <c r="G16" s="23" t="s">
        <v>142</v>
      </c>
      <c r="H16" s="25">
        <v>3</v>
      </c>
      <c r="I16" s="1">
        <v>1</v>
      </c>
      <c r="J16" s="26">
        <v>1</v>
      </c>
      <c r="K16" s="27">
        <f t="shared" si="2"/>
        <v>0</v>
      </c>
      <c r="L16" s="27"/>
      <c r="M16" s="27"/>
      <c r="N16" s="1">
        <v>5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129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0</v>
      </c>
      <c r="I19" s="1"/>
      <c r="J19" s="26"/>
      <c r="K19" s="27">
        <f t="shared" si="2"/>
        <v>0</v>
      </c>
      <c r="L19" s="27"/>
      <c r="M19" s="27"/>
      <c r="N19" s="1">
        <v>4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1</v>
      </c>
      <c r="I20" s="1"/>
      <c r="J20" s="26"/>
      <c r="K20" s="27">
        <f t="shared" si="2"/>
        <v>0</v>
      </c>
      <c r="L20" s="27"/>
      <c r="M20" s="27"/>
      <c r="N20" s="1">
        <v>6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292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292</v>
      </c>
      <c r="G22" s="23" t="s">
        <v>124</v>
      </c>
      <c r="H22" s="25">
        <v>0</v>
      </c>
      <c r="I22" s="2"/>
      <c r="J22" s="26"/>
      <c r="K22" s="27">
        <f t="shared" si="2"/>
        <v>0</v>
      </c>
      <c r="L22" s="27"/>
      <c r="M22" s="27"/>
      <c r="N22" s="2">
        <v>1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132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/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2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1</v>
      </c>
      <c r="I27" s="1"/>
      <c r="J27" s="44"/>
      <c r="K27" s="27">
        <f t="shared" si="2"/>
        <v>0</v>
      </c>
      <c r="L27" s="27"/>
      <c r="M27" s="27"/>
      <c r="N27" s="1"/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/>
      <c r="L28" s="27"/>
      <c r="M28" s="27"/>
      <c r="N28" s="1"/>
      <c r="O28" s="27"/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0</v>
      </c>
      <c r="I29" s="1"/>
      <c r="J29" s="26"/>
      <c r="K29" s="27">
        <f t="shared" si="2"/>
        <v>0</v>
      </c>
      <c r="L29" s="27"/>
      <c r="M29" s="27"/>
      <c r="N29" s="1"/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/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/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123</v>
      </c>
      <c r="G31" s="23" t="s">
        <v>136</v>
      </c>
      <c r="H31" s="25">
        <v>0</v>
      </c>
      <c r="I31" s="2"/>
      <c r="J31" s="26"/>
      <c r="K31" s="27">
        <f t="shared" si="2"/>
        <v>0</v>
      </c>
      <c r="L31" s="27"/>
      <c r="M31" s="27"/>
      <c r="N31" s="2"/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2</v>
      </c>
      <c r="I32" s="1"/>
      <c r="J32" s="26"/>
      <c r="K32" s="27">
        <f t="shared" si="2"/>
        <v>0</v>
      </c>
      <c r="L32" s="27"/>
      <c r="M32" s="27"/>
      <c r="N32" s="1">
        <v>3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/>
      <c r="F33" s="23" t="s">
        <v>292</v>
      </c>
      <c r="G33" s="23" t="s">
        <v>124</v>
      </c>
      <c r="H33" s="25">
        <v>1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/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0</v>
      </c>
      <c r="I35" s="1"/>
      <c r="J35" s="26"/>
      <c r="K35" s="27">
        <f t="shared" si="2"/>
        <v>0</v>
      </c>
      <c r="L35" s="27"/>
      <c r="M35" s="27"/>
      <c r="N35" s="1">
        <v>1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0</v>
      </c>
      <c r="I36" s="1"/>
      <c r="J36" s="26"/>
      <c r="K36" s="27">
        <f t="shared" si="2"/>
        <v>0</v>
      </c>
      <c r="L36" s="27"/>
      <c r="M36" s="27"/>
      <c r="N36" s="1"/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292</v>
      </c>
      <c r="G37" s="23" t="s">
        <v>136</v>
      </c>
      <c r="H37" s="25">
        <v>0</v>
      </c>
      <c r="I37" s="2"/>
      <c r="J37" s="26"/>
      <c r="K37" s="27">
        <f t="shared" si="2"/>
        <v>0</v>
      </c>
      <c r="L37" s="27"/>
      <c r="M37" s="27"/>
      <c r="N37" s="2"/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0</v>
      </c>
      <c r="I38" s="1"/>
      <c r="J38" s="26"/>
      <c r="K38" s="27">
        <f t="shared" si="2"/>
        <v>0</v>
      </c>
      <c r="L38" s="27"/>
      <c r="M38" s="27"/>
      <c r="N38" s="1"/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123</v>
      </c>
      <c r="G39" s="23" t="s">
        <v>136</v>
      </c>
      <c r="H39" s="25">
        <v>1</v>
      </c>
      <c r="I39" s="2"/>
      <c r="J39" s="26"/>
      <c r="K39" s="27">
        <f t="shared" si="2"/>
        <v>0</v>
      </c>
      <c r="L39" s="27"/>
      <c r="M39" s="27"/>
      <c r="N39" s="2"/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/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0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0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120</v>
      </c>
      <c r="G43" s="23" t="s">
        <v>124</v>
      </c>
      <c r="H43" s="25">
        <v>0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1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294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/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120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1</v>
      </c>
      <c r="O47" s="27">
        <f t="shared" si="1"/>
        <v>0</v>
      </c>
      <c r="P47" s="27"/>
      <c r="Q47" s="27"/>
      <c r="R47" s="20"/>
    </row>
    <row r="48" spans="1:38" ht="15" customHeight="1">
      <c r="A48" s="24">
        <v>20</v>
      </c>
      <c r="B48" s="23" t="s">
        <v>48</v>
      </c>
      <c r="C48" s="24" t="s">
        <v>18</v>
      </c>
      <c r="D48" s="23"/>
      <c r="E48" s="23" t="s">
        <v>19</v>
      </c>
      <c r="F48" s="23" t="s">
        <v>295</v>
      </c>
      <c r="G48" s="23" t="s">
        <v>142</v>
      </c>
      <c r="H48" s="25">
        <v>1</v>
      </c>
      <c r="I48" s="1">
        <v>1</v>
      </c>
      <c r="J48" s="26">
        <v>1</v>
      </c>
      <c r="K48" s="27">
        <f t="shared" si="2"/>
        <v>0</v>
      </c>
      <c r="L48" s="27"/>
      <c r="M48" s="27"/>
      <c r="N48" s="1">
        <v>2</v>
      </c>
      <c r="O48" s="27">
        <f t="shared" si="1"/>
        <v>0</v>
      </c>
      <c r="P48" s="27"/>
      <c r="Q48" s="27"/>
      <c r="R48" s="20"/>
    </row>
    <row r="49" spans="1:38" ht="15" customHeight="1">
      <c r="A49" s="24"/>
      <c r="B49" s="23" t="s">
        <v>48</v>
      </c>
      <c r="C49" s="24" t="s">
        <v>18</v>
      </c>
      <c r="D49" s="23"/>
      <c r="E49" s="23" t="s">
        <v>19</v>
      </c>
      <c r="F49" s="23" t="s">
        <v>120</v>
      </c>
      <c r="G49" s="23" t="s">
        <v>122</v>
      </c>
      <c r="H49" s="25">
        <v>0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20"/>
    </row>
    <row r="50" spans="1:38" ht="15" customHeight="1">
      <c r="A50" s="24">
        <v>21</v>
      </c>
      <c r="B50" s="23" t="s">
        <v>49</v>
      </c>
      <c r="C50" s="24" t="s">
        <v>18</v>
      </c>
      <c r="D50" s="23"/>
      <c r="E50" s="23" t="s">
        <v>19</v>
      </c>
      <c r="F50" s="23" t="s">
        <v>120</v>
      </c>
      <c r="G50" s="23" t="s">
        <v>142</v>
      </c>
      <c r="H50" s="25">
        <v>2</v>
      </c>
      <c r="I50" s="1"/>
      <c r="J50" s="26"/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20"/>
    </row>
    <row r="51" spans="1:38" s="7" customFormat="1" ht="15" customHeight="1">
      <c r="A51" s="24">
        <v>22</v>
      </c>
      <c r="B51" s="23" t="s">
        <v>138</v>
      </c>
      <c r="C51" s="24" t="s">
        <v>18</v>
      </c>
      <c r="D51" s="23"/>
      <c r="E51" s="23" t="s">
        <v>19</v>
      </c>
      <c r="F51" s="23" t="s">
        <v>292</v>
      </c>
      <c r="G51" s="23" t="s">
        <v>142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 spans="1:38" ht="15" customHeight="1">
      <c r="A52" s="24"/>
      <c r="B52" s="23" t="s">
        <v>138</v>
      </c>
      <c r="C52" s="24" t="s">
        <v>18</v>
      </c>
      <c r="D52" s="23"/>
      <c r="E52" s="23" t="s">
        <v>19</v>
      </c>
      <c r="F52" s="23" t="s">
        <v>268</v>
      </c>
      <c r="G52" s="23" t="s">
        <v>136</v>
      </c>
      <c r="H52" s="25">
        <v>1</v>
      </c>
      <c r="I52" s="2"/>
      <c r="J52" s="26"/>
      <c r="K52" s="27">
        <f t="shared" si="2"/>
        <v>0</v>
      </c>
      <c r="L52" s="27"/>
      <c r="M52" s="27"/>
      <c r="N52" s="2"/>
      <c r="O52" s="27">
        <f t="shared" si="1"/>
        <v>0</v>
      </c>
      <c r="P52" s="27"/>
      <c r="Q52" s="27"/>
      <c r="R52" s="20"/>
    </row>
    <row r="53" spans="1:38" s="8" customFormat="1">
      <c r="A53" s="78">
        <v>23</v>
      </c>
      <c r="B53" s="79" t="s">
        <v>147</v>
      </c>
      <c r="C53" s="80" t="s">
        <v>18</v>
      </c>
      <c r="D53" s="79"/>
      <c r="E53" s="79" t="s">
        <v>50</v>
      </c>
      <c r="F53" s="79"/>
      <c r="G53" s="79" t="s">
        <v>142</v>
      </c>
      <c r="H53" s="81">
        <v>0</v>
      </c>
      <c r="I53" s="82"/>
      <c r="J53" s="26"/>
      <c r="K53" s="27">
        <f t="shared" si="2"/>
        <v>0</v>
      </c>
      <c r="L53" s="83"/>
      <c r="M53" s="83"/>
      <c r="N53" s="26"/>
      <c r="O53" s="27">
        <f t="shared" si="1"/>
        <v>0</v>
      </c>
      <c r="P53" s="78"/>
      <c r="Q53" s="84"/>
      <c r="R53" s="20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7" customFormat="1" ht="24.75" customHeight="1">
      <c r="A54" s="29">
        <v>24</v>
      </c>
      <c r="B54" s="30" t="s">
        <v>51</v>
      </c>
      <c r="C54" s="29" t="s">
        <v>52</v>
      </c>
      <c r="D54" s="30" t="s">
        <v>53</v>
      </c>
      <c r="E54" s="30" t="s">
        <v>19</v>
      </c>
      <c r="F54" s="30" t="s">
        <v>292</v>
      </c>
      <c r="G54" s="30" t="s">
        <v>142</v>
      </c>
      <c r="H54" s="25">
        <v>1</v>
      </c>
      <c r="I54" s="1"/>
      <c r="J54" s="26"/>
      <c r="K54" s="27">
        <f t="shared" si="2"/>
        <v>0</v>
      </c>
      <c r="L54" s="27"/>
      <c r="M54" s="27"/>
      <c r="N54" s="1">
        <v>6</v>
      </c>
      <c r="O54" s="27">
        <f t="shared" si="1"/>
        <v>0</v>
      </c>
      <c r="P54" s="27"/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>
        <v>25</v>
      </c>
      <c r="B55" s="23" t="s">
        <v>54</v>
      </c>
      <c r="C55" s="24" t="s">
        <v>18</v>
      </c>
      <c r="D55" s="23"/>
      <c r="E55" s="23" t="s">
        <v>19</v>
      </c>
      <c r="F55" s="23" t="s">
        <v>120</v>
      </c>
      <c r="G55" s="23" t="s">
        <v>142</v>
      </c>
      <c r="H55" s="25">
        <v>2</v>
      </c>
      <c r="I55" s="1">
        <v>1</v>
      </c>
      <c r="J55" s="26">
        <v>1</v>
      </c>
      <c r="K55" s="27">
        <f t="shared" si="2"/>
        <v>0</v>
      </c>
      <c r="L55" s="27"/>
      <c r="M55" s="27"/>
      <c r="N55" s="1">
        <v>2</v>
      </c>
      <c r="O55" s="27">
        <f t="shared" si="1"/>
        <v>0</v>
      </c>
      <c r="P55" s="27"/>
      <c r="Q55" s="27"/>
      <c r="R55" s="20"/>
    </row>
    <row r="56" spans="1:38" ht="15" customHeight="1">
      <c r="A56" s="24"/>
      <c r="B56" s="23" t="s">
        <v>54</v>
      </c>
      <c r="C56" s="24" t="s">
        <v>18</v>
      </c>
      <c r="D56" s="23"/>
      <c r="E56" s="23" t="s">
        <v>19</v>
      </c>
      <c r="F56" s="23" t="s">
        <v>292</v>
      </c>
      <c r="G56" s="23" t="s">
        <v>122</v>
      </c>
      <c r="H56" s="25">
        <v>1</v>
      </c>
      <c r="I56" s="1"/>
      <c r="J56" s="26"/>
      <c r="K56" s="27">
        <f t="shared" si="2"/>
        <v>0</v>
      </c>
      <c r="L56" s="27"/>
      <c r="M56" s="27"/>
      <c r="N56" s="1"/>
      <c r="O56" s="27">
        <f t="shared" si="1"/>
        <v>0</v>
      </c>
      <c r="P56" s="27"/>
      <c r="Q56" s="27"/>
      <c r="R56" s="20"/>
    </row>
    <row r="57" spans="1:38" s="7" customFormat="1" ht="15" customHeight="1">
      <c r="A57" s="24">
        <v>26</v>
      </c>
      <c r="B57" s="23" t="s">
        <v>55</v>
      </c>
      <c r="C57" s="24" t="s">
        <v>18</v>
      </c>
      <c r="D57" s="23"/>
      <c r="E57" s="23" t="s">
        <v>19</v>
      </c>
      <c r="F57" s="23" t="s">
        <v>292</v>
      </c>
      <c r="G57" s="23" t="s">
        <v>142</v>
      </c>
      <c r="H57" s="25">
        <v>0</v>
      </c>
      <c r="I57" s="1"/>
      <c r="J57" s="26"/>
      <c r="K57" s="27">
        <f t="shared" si="2"/>
        <v>0</v>
      </c>
      <c r="L57" s="27"/>
      <c r="M57" s="27"/>
      <c r="N57" s="1"/>
      <c r="O57" s="27">
        <f t="shared" si="1"/>
        <v>0</v>
      </c>
      <c r="P57" s="27"/>
      <c r="Q57" s="27"/>
      <c r="R57" s="20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 spans="1:38" ht="15.6" customHeight="1">
      <c r="A58" s="24"/>
      <c r="B58" s="23" t="s">
        <v>55</v>
      </c>
      <c r="C58" s="24" t="s">
        <v>18</v>
      </c>
      <c r="D58" s="23"/>
      <c r="E58" s="23" t="s">
        <v>19</v>
      </c>
      <c r="F58" s="23" t="s">
        <v>292</v>
      </c>
      <c r="G58" s="23" t="s">
        <v>122</v>
      </c>
      <c r="H58" s="25">
        <v>1</v>
      </c>
      <c r="I58" s="1"/>
      <c r="J58" s="26"/>
      <c r="K58" s="27">
        <f t="shared" si="2"/>
        <v>0</v>
      </c>
      <c r="L58" s="27"/>
      <c r="M58" s="27"/>
      <c r="N58" s="1"/>
      <c r="O58" s="27">
        <f t="shared" si="1"/>
        <v>0</v>
      </c>
      <c r="P58" s="27"/>
      <c r="Q58" s="27"/>
      <c r="R58" s="20"/>
    </row>
    <row r="59" spans="1:38" s="7" customFormat="1" ht="15" customHeight="1">
      <c r="A59" s="24">
        <v>27</v>
      </c>
      <c r="B59" s="23" t="s">
        <v>56</v>
      </c>
      <c r="C59" s="24" t="s">
        <v>52</v>
      </c>
      <c r="D59" s="23" t="s">
        <v>57</v>
      </c>
      <c r="E59" s="23" t="s">
        <v>19</v>
      </c>
      <c r="F59" s="23" t="s">
        <v>120</v>
      </c>
      <c r="G59" s="23" t="s">
        <v>142</v>
      </c>
      <c r="H59" s="25">
        <v>0</v>
      </c>
      <c r="I59" s="1"/>
      <c r="J59" s="26"/>
      <c r="K59" s="27">
        <f t="shared" si="2"/>
        <v>0</v>
      </c>
      <c r="L59" s="27"/>
      <c r="M59" s="27"/>
      <c r="N59" s="1"/>
      <c r="O59" s="27">
        <f t="shared" si="1"/>
        <v>0</v>
      </c>
      <c r="P59" s="27"/>
      <c r="Q59" s="27"/>
      <c r="R59" s="20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 spans="1:38" s="7" customFormat="1" ht="15" customHeight="1">
      <c r="A60" s="24">
        <v>28</v>
      </c>
      <c r="B60" s="23" t="s">
        <v>58</v>
      </c>
      <c r="C60" s="24" t="s">
        <v>18</v>
      </c>
      <c r="D60" s="23"/>
      <c r="E60" s="23" t="s">
        <v>19</v>
      </c>
      <c r="F60" s="23" t="s">
        <v>292</v>
      </c>
      <c r="G60" s="23" t="s">
        <v>142</v>
      </c>
      <c r="H60" s="25">
        <v>1</v>
      </c>
      <c r="I60" s="1"/>
      <c r="J60" s="26"/>
      <c r="K60" s="27">
        <f t="shared" si="2"/>
        <v>0</v>
      </c>
      <c r="L60" s="27"/>
      <c r="M60" s="27"/>
      <c r="N60" s="1"/>
      <c r="O60" s="27">
        <f t="shared" si="1"/>
        <v>0</v>
      </c>
      <c r="P60" s="27"/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s="7" customFormat="1" ht="15" customHeight="1">
      <c r="A61" s="24"/>
      <c r="B61" s="23" t="s">
        <v>58</v>
      </c>
      <c r="C61" s="24" t="s">
        <v>18</v>
      </c>
      <c r="D61" s="23"/>
      <c r="E61" s="23" t="s">
        <v>19</v>
      </c>
      <c r="F61" s="23" t="s">
        <v>292</v>
      </c>
      <c r="G61" s="23" t="s">
        <v>122</v>
      </c>
      <c r="H61" s="25">
        <v>0</v>
      </c>
      <c r="I61" s="1"/>
      <c r="J61" s="26"/>
      <c r="K61" s="27">
        <f t="shared" si="2"/>
        <v>0</v>
      </c>
      <c r="L61" s="27"/>
      <c r="M61" s="27"/>
      <c r="N61" s="1"/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29</v>
      </c>
      <c r="B62" s="23" t="s">
        <v>59</v>
      </c>
      <c r="C62" s="24" t="s">
        <v>18</v>
      </c>
      <c r="D62" s="23"/>
      <c r="E62" s="23" t="s">
        <v>60</v>
      </c>
      <c r="F62" s="23" t="s">
        <v>292</v>
      </c>
      <c r="G62" s="23" t="s">
        <v>142</v>
      </c>
      <c r="H62" s="25">
        <v>1</v>
      </c>
      <c r="I62" s="1"/>
      <c r="J62" s="26"/>
      <c r="K62" s="27">
        <f t="shared" si="2"/>
        <v>0</v>
      </c>
      <c r="L62" s="27"/>
      <c r="M62" s="27"/>
      <c r="N62" s="1"/>
      <c r="O62" s="27">
        <f t="shared" si="1"/>
        <v>0</v>
      </c>
      <c r="P62" s="27"/>
      <c r="Q62" s="27"/>
      <c r="R62" s="20"/>
    </row>
    <row r="63" spans="1:38" ht="15" customHeight="1">
      <c r="A63" s="24"/>
      <c r="B63" s="23" t="s">
        <v>139</v>
      </c>
      <c r="C63" s="24" t="s">
        <v>18</v>
      </c>
      <c r="D63" s="23"/>
      <c r="E63" s="23" t="s">
        <v>60</v>
      </c>
      <c r="F63" s="23" t="s">
        <v>292</v>
      </c>
      <c r="G63" s="23" t="s">
        <v>136</v>
      </c>
      <c r="H63" s="25">
        <v>1</v>
      </c>
      <c r="I63" s="2"/>
      <c r="J63" s="26"/>
      <c r="K63" s="27">
        <f t="shared" si="2"/>
        <v>0</v>
      </c>
      <c r="L63" s="27"/>
      <c r="M63" s="27"/>
      <c r="N63" s="2"/>
      <c r="O63" s="27">
        <f t="shared" si="1"/>
        <v>0</v>
      </c>
      <c r="P63" s="27"/>
      <c r="Q63" s="27"/>
      <c r="R63" s="20"/>
    </row>
    <row r="64" spans="1:38" s="7" customFormat="1" ht="15" customHeight="1">
      <c r="A64" s="24">
        <v>30</v>
      </c>
      <c r="B64" s="23" t="s">
        <v>61</v>
      </c>
      <c r="C64" s="24" t="s">
        <v>18</v>
      </c>
      <c r="D64" s="23"/>
      <c r="E64" s="23" t="s">
        <v>41</v>
      </c>
      <c r="F64" s="23" t="s">
        <v>268</v>
      </c>
      <c r="G64" s="23" t="s">
        <v>142</v>
      </c>
      <c r="H64" s="25">
        <v>2</v>
      </c>
      <c r="I64" s="1"/>
      <c r="J64" s="26"/>
      <c r="K64" s="27">
        <f t="shared" si="2"/>
        <v>0</v>
      </c>
      <c r="L64" s="27"/>
      <c r="M64" s="27"/>
      <c r="N64" s="1">
        <v>7</v>
      </c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" customHeight="1">
      <c r="A65" s="24"/>
      <c r="B65" s="23" t="s">
        <v>61</v>
      </c>
      <c r="C65" s="24" t="s">
        <v>18</v>
      </c>
      <c r="D65" s="23"/>
      <c r="E65" s="23" t="s">
        <v>41</v>
      </c>
      <c r="F65" s="23" t="s">
        <v>292</v>
      </c>
      <c r="G65" s="23" t="s">
        <v>136</v>
      </c>
      <c r="H65" s="25">
        <v>0</v>
      </c>
      <c r="I65" s="2"/>
      <c r="J65" s="26"/>
      <c r="K65" s="27">
        <f t="shared" si="2"/>
        <v>0</v>
      </c>
      <c r="L65" s="27"/>
      <c r="M65" s="27"/>
      <c r="N65" s="2"/>
      <c r="O65" s="27">
        <f t="shared" si="1"/>
        <v>0</v>
      </c>
      <c r="P65" s="27"/>
      <c r="Q65" s="27"/>
      <c r="R65" s="20"/>
    </row>
    <row r="66" spans="1:38" ht="15" customHeight="1">
      <c r="A66" s="24">
        <v>31</v>
      </c>
      <c r="B66" s="23" t="s">
        <v>62</v>
      </c>
      <c r="C66" s="24" t="s">
        <v>18</v>
      </c>
      <c r="D66" s="23"/>
      <c r="E66" s="23" t="s">
        <v>19</v>
      </c>
      <c r="F66" s="23" t="s">
        <v>292</v>
      </c>
      <c r="G66" s="23" t="s">
        <v>142</v>
      </c>
      <c r="H66" s="25">
        <v>3</v>
      </c>
      <c r="I66" s="1"/>
      <c r="J66" s="26"/>
      <c r="K66" s="27">
        <f t="shared" si="2"/>
        <v>0</v>
      </c>
      <c r="L66" s="27"/>
      <c r="M66" s="27"/>
      <c r="N66" s="1"/>
      <c r="O66" s="27">
        <f t="shared" si="1"/>
        <v>0</v>
      </c>
      <c r="P66" s="27"/>
      <c r="Q66" s="27"/>
      <c r="R66" s="20"/>
    </row>
    <row r="67" spans="1:38" ht="15" customHeight="1">
      <c r="A67" s="24"/>
      <c r="B67" s="23" t="s">
        <v>62</v>
      </c>
      <c r="C67" s="24" t="s">
        <v>18</v>
      </c>
      <c r="D67" s="23"/>
      <c r="E67" s="23" t="s">
        <v>19</v>
      </c>
      <c r="F67" s="23" t="s">
        <v>277</v>
      </c>
      <c r="G67" s="23" t="s">
        <v>124</v>
      </c>
      <c r="H67" s="25">
        <v>0</v>
      </c>
      <c r="I67" s="1"/>
      <c r="J67" s="26"/>
      <c r="K67" s="27">
        <f t="shared" si="2"/>
        <v>0</v>
      </c>
      <c r="L67" s="27"/>
      <c r="M67" s="27"/>
      <c r="N67" s="1"/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62</v>
      </c>
      <c r="C68" s="24" t="s">
        <v>18</v>
      </c>
      <c r="D68" s="23"/>
      <c r="E68" s="23" t="s">
        <v>19</v>
      </c>
      <c r="F68" s="23" t="s">
        <v>120</v>
      </c>
      <c r="G68" s="23" t="s">
        <v>122</v>
      </c>
      <c r="H68" s="25">
        <v>0</v>
      </c>
      <c r="I68" s="1"/>
      <c r="J68" s="26"/>
      <c r="K68" s="27">
        <f t="shared" si="2"/>
        <v>0</v>
      </c>
      <c r="L68" s="27"/>
      <c r="M68" s="27"/>
      <c r="N68" s="1"/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62</v>
      </c>
      <c r="C69" s="24" t="s">
        <v>18</v>
      </c>
      <c r="D69" s="23"/>
      <c r="E69" s="23" t="s">
        <v>19</v>
      </c>
      <c r="F69" s="23" t="s">
        <v>292</v>
      </c>
      <c r="G69" s="23" t="s">
        <v>210</v>
      </c>
      <c r="H69" s="25">
        <v>0</v>
      </c>
      <c r="I69" s="1"/>
      <c r="J69" s="26"/>
      <c r="K69" s="27">
        <f t="shared" si="2"/>
        <v>0</v>
      </c>
      <c r="L69" s="27"/>
      <c r="M69" s="27"/>
      <c r="N69" s="1">
        <v>1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32</v>
      </c>
      <c r="B70" s="23" t="s">
        <v>63</v>
      </c>
      <c r="C70" s="24" t="s">
        <v>18</v>
      </c>
      <c r="D70" s="23"/>
      <c r="E70" s="23" t="s">
        <v>41</v>
      </c>
      <c r="F70" s="23" t="s">
        <v>120</v>
      </c>
      <c r="G70" s="23" t="s">
        <v>142</v>
      </c>
      <c r="H70" s="25">
        <v>2</v>
      </c>
      <c r="I70" s="1"/>
      <c r="J70" s="26"/>
      <c r="K70" s="27">
        <f t="shared" si="2"/>
        <v>0</v>
      </c>
      <c r="L70" s="27"/>
      <c r="M70" s="27"/>
      <c r="N70" s="1">
        <v>8</v>
      </c>
      <c r="O70" s="27">
        <f t="shared" si="1"/>
        <v>0</v>
      </c>
      <c r="P70" s="27"/>
      <c r="Q70" s="27"/>
      <c r="R70" s="20"/>
    </row>
    <row r="71" spans="1:38" ht="15" customHeight="1">
      <c r="A71" s="24"/>
      <c r="B71" s="23" t="s">
        <v>63</v>
      </c>
      <c r="C71" s="24" t="s">
        <v>18</v>
      </c>
      <c r="D71" s="23"/>
      <c r="E71" s="23" t="s">
        <v>41</v>
      </c>
      <c r="F71" s="23" t="s">
        <v>120</v>
      </c>
      <c r="G71" s="23" t="s">
        <v>136</v>
      </c>
      <c r="H71" s="25">
        <v>0</v>
      </c>
      <c r="I71" s="2"/>
      <c r="J71" s="26"/>
      <c r="K71" s="27">
        <f t="shared" si="2"/>
        <v>0</v>
      </c>
      <c r="L71" s="27"/>
      <c r="M71" s="27"/>
      <c r="N71" s="2"/>
      <c r="O71" s="27">
        <f t="shared" si="1"/>
        <v>0</v>
      </c>
      <c r="P71" s="27"/>
      <c r="Q71" s="27"/>
      <c r="R71" s="20"/>
    </row>
    <row r="72" spans="1:38" s="17" customFormat="1" ht="15" customHeight="1">
      <c r="A72" s="24">
        <v>33</v>
      </c>
      <c r="B72" s="23" t="s">
        <v>64</v>
      </c>
      <c r="C72" s="24" t="s">
        <v>18</v>
      </c>
      <c r="D72" s="23"/>
      <c r="E72" s="23" t="s">
        <v>41</v>
      </c>
      <c r="F72" s="23" t="s">
        <v>123</v>
      </c>
      <c r="G72" s="23" t="s">
        <v>142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</row>
    <row r="73" spans="1:38" ht="15" customHeight="1">
      <c r="A73" s="24"/>
      <c r="B73" s="23" t="s">
        <v>64</v>
      </c>
      <c r="C73" s="24" t="s">
        <v>18</v>
      </c>
      <c r="D73" s="23"/>
      <c r="E73" s="23" t="s">
        <v>41</v>
      </c>
      <c r="F73" s="23" t="s">
        <v>123</v>
      </c>
      <c r="G73" s="23" t="s">
        <v>122</v>
      </c>
      <c r="H73" s="25">
        <v>0</v>
      </c>
      <c r="I73" s="1"/>
      <c r="J73" s="26"/>
      <c r="K73" s="27">
        <f t="shared" si="2"/>
        <v>0</v>
      </c>
      <c r="L73" s="27"/>
      <c r="M73" s="27"/>
      <c r="N73" s="1"/>
      <c r="O73" s="27">
        <f t="shared" si="1"/>
        <v>0</v>
      </c>
      <c r="P73" s="27"/>
      <c r="Q73" s="27"/>
      <c r="R73" s="20"/>
    </row>
    <row r="74" spans="1:38" s="17" customFormat="1" ht="15" customHeight="1">
      <c r="A74" s="24">
        <v>34</v>
      </c>
      <c r="B74" s="23" t="s">
        <v>238</v>
      </c>
      <c r="C74" s="24" t="s">
        <v>18</v>
      </c>
      <c r="D74" s="23"/>
      <c r="E74" s="23" t="s">
        <v>41</v>
      </c>
      <c r="F74" s="23" t="s">
        <v>123</v>
      </c>
      <c r="G74" s="23" t="s">
        <v>142</v>
      </c>
      <c r="H74" s="25">
        <v>2</v>
      </c>
      <c r="I74" s="1"/>
      <c r="J74" s="26"/>
      <c r="K74" s="27">
        <f t="shared" si="2"/>
        <v>0</v>
      </c>
      <c r="L74" s="27"/>
      <c r="M74" s="27"/>
      <c r="N74" s="1"/>
      <c r="O74" s="27">
        <f t="shared" si="1"/>
        <v>0</v>
      </c>
      <c r="P74" s="27"/>
      <c r="Q74" s="27"/>
      <c r="R74" s="20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</row>
    <row r="75" spans="1:38" s="7" customFormat="1" ht="15" customHeight="1">
      <c r="A75" s="24">
        <v>35</v>
      </c>
      <c r="B75" s="23" t="s">
        <v>65</v>
      </c>
      <c r="C75" s="24" t="s">
        <v>18</v>
      </c>
      <c r="D75" s="23"/>
      <c r="E75" s="23" t="s">
        <v>66</v>
      </c>
      <c r="F75" s="23" t="s">
        <v>295</v>
      </c>
      <c r="G75" s="23" t="s">
        <v>142</v>
      </c>
      <c r="H75" s="25">
        <v>1</v>
      </c>
      <c r="I75" s="1"/>
      <c r="J75" s="26"/>
      <c r="K75" s="27">
        <f t="shared" si="2"/>
        <v>0</v>
      </c>
      <c r="L75" s="27"/>
      <c r="M75" s="27"/>
      <c r="N75" s="1"/>
      <c r="O75" s="27">
        <f t="shared" si="1"/>
        <v>0</v>
      </c>
      <c r="P75" s="27"/>
      <c r="Q75" s="27"/>
      <c r="R75" s="20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 spans="1:38" ht="15" customHeight="1">
      <c r="A76" s="24"/>
      <c r="B76" s="23" t="s">
        <v>65</v>
      </c>
      <c r="C76" s="24" t="s">
        <v>18</v>
      </c>
      <c r="D76" s="23"/>
      <c r="E76" s="23" t="s">
        <v>66</v>
      </c>
      <c r="F76" s="23" t="s">
        <v>123</v>
      </c>
      <c r="G76" s="23" t="s">
        <v>136</v>
      </c>
      <c r="H76" s="25">
        <v>0</v>
      </c>
      <c r="I76" s="2"/>
      <c r="J76" s="26"/>
      <c r="K76" s="27">
        <f t="shared" si="2"/>
        <v>0</v>
      </c>
      <c r="L76" s="27"/>
      <c r="M76" s="27"/>
      <c r="N76" s="2"/>
      <c r="O76" s="27">
        <f t="shared" si="1"/>
        <v>0</v>
      </c>
      <c r="P76" s="27"/>
      <c r="Q76" s="27"/>
      <c r="R76" s="20"/>
    </row>
    <row r="77" spans="1:38" s="7" customFormat="1" ht="15" customHeight="1">
      <c r="A77" s="24">
        <v>36</v>
      </c>
      <c r="B77" s="23" t="s">
        <v>67</v>
      </c>
      <c r="C77" s="24" t="s">
        <v>18</v>
      </c>
      <c r="D77" s="23"/>
      <c r="E77" s="23" t="s">
        <v>19</v>
      </c>
      <c r="F77" s="23" t="s">
        <v>292</v>
      </c>
      <c r="G77" s="23" t="s">
        <v>142</v>
      </c>
      <c r="H77" s="25">
        <v>2</v>
      </c>
      <c r="I77" s="1"/>
      <c r="J77" s="26"/>
      <c r="K77" s="27">
        <f t="shared" ref="K77:K145" si="3">L77+M77</f>
        <v>0</v>
      </c>
      <c r="L77" s="27"/>
      <c r="M77" s="27"/>
      <c r="N77" s="1">
        <v>4</v>
      </c>
      <c r="O77" s="27">
        <f t="shared" si="1"/>
        <v>0</v>
      </c>
      <c r="P77" s="27"/>
      <c r="Q77" s="27"/>
      <c r="R77" s="20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 spans="1:38" s="28" customFormat="1" ht="15" customHeight="1">
      <c r="A78" s="24"/>
      <c r="B78" s="23" t="s">
        <v>67</v>
      </c>
      <c r="C78" s="24" t="s">
        <v>18</v>
      </c>
      <c r="D78" s="23"/>
      <c r="E78" s="23" t="s">
        <v>104</v>
      </c>
      <c r="F78" s="23" t="s">
        <v>123</v>
      </c>
      <c r="G78" s="23" t="s">
        <v>122</v>
      </c>
      <c r="H78" s="25">
        <v>0</v>
      </c>
      <c r="I78" s="1"/>
      <c r="J78" s="26"/>
      <c r="K78" s="27">
        <f t="shared" si="3"/>
        <v>0</v>
      </c>
      <c r="L78" s="27"/>
      <c r="M78" s="27"/>
      <c r="N78" s="1"/>
      <c r="O78" s="27">
        <f t="shared" si="1"/>
        <v>0</v>
      </c>
      <c r="P78" s="27"/>
      <c r="Q78" s="27"/>
      <c r="R78" s="20"/>
    </row>
    <row r="79" spans="1:38" ht="15" customHeight="1">
      <c r="A79" s="24">
        <v>37</v>
      </c>
      <c r="B79" s="23" t="s">
        <v>68</v>
      </c>
      <c r="C79" s="24" t="s">
        <v>18</v>
      </c>
      <c r="D79" s="24"/>
      <c r="E79" s="23" t="s">
        <v>50</v>
      </c>
      <c r="F79" s="23" t="s">
        <v>268</v>
      </c>
      <c r="G79" s="23" t="s">
        <v>142</v>
      </c>
      <c r="H79" s="25">
        <v>1</v>
      </c>
      <c r="I79" s="1"/>
      <c r="J79" s="26"/>
      <c r="K79" s="27">
        <f t="shared" si="3"/>
        <v>0</v>
      </c>
      <c r="L79" s="27"/>
      <c r="M79" s="27"/>
      <c r="N79" s="1"/>
      <c r="O79" s="27">
        <f t="shared" si="1"/>
        <v>0</v>
      </c>
      <c r="P79" s="27"/>
      <c r="Q79" s="27"/>
      <c r="R79" s="20"/>
    </row>
    <row r="80" spans="1:38" ht="15" customHeight="1">
      <c r="A80" s="24"/>
      <c r="B80" s="23" t="s">
        <v>68</v>
      </c>
      <c r="C80" s="24" t="s">
        <v>18</v>
      </c>
      <c r="D80" s="23"/>
      <c r="E80" s="23" t="s">
        <v>50</v>
      </c>
      <c r="F80" s="23" t="s">
        <v>123</v>
      </c>
      <c r="G80" s="23" t="s">
        <v>136</v>
      </c>
      <c r="H80" s="25">
        <v>0</v>
      </c>
      <c r="I80" s="2"/>
      <c r="J80" s="26"/>
      <c r="K80" s="27">
        <f t="shared" si="3"/>
        <v>0</v>
      </c>
      <c r="L80" s="27"/>
      <c r="M80" s="27"/>
      <c r="N80" s="2"/>
      <c r="O80" s="27">
        <f t="shared" si="1"/>
        <v>0</v>
      </c>
      <c r="P80" s="27"/>
      <c r="Q80" s="27"/>
      <c r="R80" s="20"/>
    </row>
    <row r="81" spans="1:38" ht="15" customHeight="1">
      <c r="A81" s="24"/>
      <c r="B81" s="23" t="s">
        <v>68</v>
      </c>
      <c r="C81" s="24" t="s">
        <v>18</v>
      </c>
      <c r="D81" s="23"/>
      <c r="E81" s="23" t="s">
        <v>50</v>
      </c>
      <c r="F81" s="23" t="s">
        <v>292</v>
      </c>
      <c r="G81" s="23" t="s">
        <v>124</v>
      </c>
      <c r="H81" s="25">
        <v>0</v>
      </c>
      <c r="I81" s="2"/>
      <c r="J81" s="26"/>
      <c r="K81" s="27">
        <f t="shared" si="3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ht="15" customHeight="1">
      <c r="A82" s="24">
        <v>38</v>
      </c>
      <c r="B82" s="23" t="s">
        <v>127</v>
      </c>
      <c r="C82" s="24" t="s">
        <v>18</v>
      </c>
      <c r="D82" s="23"/>
      <c r="E82" s="23" t="s">
        <v>41</v>
      </c>
      <c r="F82" s="23" t="s">
        <v>120</v>
      </c>
      <c r="G82" s="23" t="s">
        <v>142</v>
      </c>
      <c r="H82" s="25">
        <v>0</v>
      </c>
      <c r="I82" s="2"/>
      <c r="J82" s="26"/>
      <c r="K82" s="27">
        <f t="shared" si="3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ht="15" customHeight="1">
      <c r="A83" s="24"/>
      <c r="B83" s="23" t="s">
        <v>127</v>
      </c>
      <c r="C83" s="24" t="s">
        <v>18</v>
      </c>
      <c r="D83" s="23"/>
      <c r="E83" s="23" t="s">
        <v>50</v>
      </c>
      <c r="F83" s="23" t="s">
        <v>295</v>
      </c>
      <c r="G83" s="23" t="s">
        <v>136</v>
      </c>
      <c r="H83" s="25">
        <v>3</v>
      </c>
      <c r="I83" s="2"/>
      <c r="J83" s="26"/>
      <c r="K83" s="27">
        <f t="shared" si="3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ht="15" customHeight="1">
      <c r="A84" s="24"/>
      <c r="B84" s="23" t="s">
        <v>127</v>
      </c>
      <c r="C84" s="24" t="s">
        <v>18</v>
      </c>
      <c r="D84" s="23"/>
      <c r="E84" s="23" t="s">
        <v>50</v>
      </c>
      <c r="F84" s="23" t="s">
        <v>294</v>
      </c>
      <c r="G84" s="23" t="s">
        <v>124</v>
      </c>
      <c r="H84" s="25">
        <v>1</v>
      </c>
      <c r="I84" s="2"/>
      <c r="J84" s="26"/>
      <c r="K84" s="27">
        <f t="shared" si="3"/>
        <v>0</v>
      </c>
      <c r="L84" s="27"/>
      <c r="M84" s="27"/>
      <c r="N84" s="2"/>
      <c r="O84" s="27">
        <f t="shared" ref="O84:O159" si="4">P84+Q84</f>
        <v>0</v>
      </c>
      <c r="P84" s="27"/>
      <c r="Q84" s="27"/>
      <c r="R84" s="20"/>
    </row>
    <row r="85" spans="1:38" s="7" customFormat="1" ht="15" customHeight="1">
      <c r="A85" s="74">
        <v>39</v>
      </c>
      <c r="B85" s="77" t="s">
        <v>69</v>
      </c>
      <c r="C85" s="74" t="s">
        <v>18</v>
      </c>
      <c r="D85" s="77"/>
      <c r="E85" s="77" t="s">
        <v>19</v>
      </c>
      <c r="F85" s="77" t="s">
        <v>292</v>
      </c>
      <c r="G85" s="77" t="s">
        <v>142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4"/>
        <v>0</v>
      </c>
      <c r="P85" s="27"/>
      <c r="Q85" s="27"/>
      <c r="R85" s="20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 spans="1:38" s="7" customFormat="1" ht="15.75" customHeight="1">
      <c r="A86" s="74">
        <v>40</v>
      </c>
      <c r="B86" s="77" t="s">
        <v>70</v>
      </c>
      <c r="C86" s="74" t="s">
        <v>18</v>
      </c>
      <c r="D86" s="77"/>
      <c r="E86" s="77" t="s">
        <v>19</v>
      </c>
      <c r="F86" s="77" t="s">
        <v>292</v>
      </c>
      <c r="G86" s="77" t="s">
        <v>142</v>
      </c>
      <c r="H86" s="25">
        <v>1</v>
      </c>
      <c r="I86" s="1">
        <v>1</v>
      </c>
      <c r="J86" s="26">
        <v>1</v>
      </c>
      <c r="K86" s="27">
        <f t="shared" si="3"/>
        <v>0</v>
      </c>
      <c r="L86" s="27"/>
      <c r="M86" s="27"/>
      <c r="N86" s="1">
        <v>3</v>
      </c>
      <c r="O86" s="27">
        <f t="shared" si="4"/>
        <v>0</v>
      </c>
      <c r="P86" s="27"/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ht="15" customHeight="1">
      <c r="A87" s="74">
        <v>41</v>
      </c>
      <c r="B87" s="77" t="s">
        <v>71</v>
      </c>
      <c r="C87" s="74" t="s">
        <v>18</v>
      </c>
      <c r="D87" s="77"/>
      <c r="E87" s="77" t="s">
        <v>32</v>
      </c>
      <c r="F87" s="77" t="s">
        <v>292</v>
      </c>
      <c r="G87" s="77" t="s">
        <v>121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4"/>
        <v>0</v>
      </c>
      <c r="P87" s="27"/>
      <c r="Q87" s="27"/>
      <c r="R87" s="20"/>
    </row>
    <row r="88" spans="1:38" ht="15" customHeight="1">
      <c r="A88" s="24"/>
      <c r="B88" s="23" t="s">
        <v>71</v>
      </c>
      <c r="C88" s="24" t="s">
        <v>18</v>
      </c>
      <c r="D88" s="23"/>
      <c r="E88" s="23" t="s">
        <v>32</v>
      </c>
      <c r="F88" s="23" t="s">
        <v>292</v>
      </c>
      <c r="G88" s="23" t="s">
        <v>122</v>
      </c>
      <c r="H88" s="25">
        <v>0</v>
      </c>
      <c r="I88" s="1"/>
      <c r="J88" s="26"/>
      <c r="K88" s="27">
        <f t="shared" si="3"/>
        <v>0</v>
      </c>
      <c r="L88" s="27"/>
      <c r="M88" s="27"/>
      <c r="N88" s="1"/>
      <c r="O88" s="27">
        <f t="shared" si="4"/>
        <v>0</v>
      </c>
      <c r="P88" s="27"/>
      <c r="Q88" s="27"/>
      <c r="R88" s="20"/>
    </row>
    <row r="89" spans="1:38" ht="15" customHeight="1">
      <c r="A89" s="24">
        <v>42</v>
      </c>
      <c r="B89" s="23" t="s">
        <v>72</v>
      </c>
      <c r="C89" s="24" t="s">
        <v>18</v>
      </c>
      <c r="D89" s="23"/>
      <c r="E89" s="23" t="s">
        <v>19</v>
      </c>
      <c r="F89" s="23" t="s">
        <v>268</v>
      </c>
      <c r="G89" s="23" t="s">
        <v>142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20"/>
    </row>
    <row r="90" spans="1:38" ht="15" customHeight="1">
      <c r="A90" s="24"/>
      <c r="B90" s="23" t="s">
        <v>72</v>
      </c>
      <c r="C90" s="24" t="s">
        <v>18</v>
      </c>
      <c r="D90" s="23"/>
      <c r="E90" s="23" t="s">
        <v>19</v>
      </c>
      <c r="F90" s="23" t="s">
        <v>292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43</v>
      </c>
      <c r="B91" s="23" t="s">
        <v>73</v>
      </c>
      <c r="C91" s="24" t="s">
        <v>18</v>
      </c>
      <c r="D91" s="23"/>
      <c r="E91" s="23" t="s">
        <v>19</v>
      </c>
      <c r="F91" s="23"/>
      <c r="G91" s="23" t="s">
        <v>142</v>
      </c>
      <c r="H91" s="25">
        <v>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7" customFormat="1" ht="15" customHeight="1">
      <c r="A92" s="24">
        <v>44</v>
      </c>
      <c r="B92" s="23" t="s">
        <v>74</v>
      </c>
      <c r="C92" s="24" t="s">
        <v>18</v>
      </c>
      <c r="D92" s="23"/>
      <c r="E92" s="23" t="s">
        <v>19</v>
      </c>
      <c r="F92" s="23" t="s">
        <v>120</v>
      </c>
      <c r="G92" s="23" t="s">
        <v>142</v>
      </c>
      <c r="H92" s="25">
        <v>1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ht="15" customHeight="1">
      <c r="A93" s="24">
        <v>45</v>
      </c>
      <c r="B93" s="23" t="s">
        <v>75</v>
      </c>
      <c r="C93" s="24" t="s">
        <v>18</v>
      </c>
      <c r="D93" s="23"/>
      <c r="E93" s="23" t="s">
        <v>76</v>
      </c>
      <c r="F93" s="23" t="s">
        <v>120</v>
      </c>
      <c r="G93" s="23" t="s">
        <v>142</v>
      </c>
      <c r="H93" s="25">
        <v>0</v>
      </c>
      <c r="I93" s="1"/>
      <c r="J93" s="26"/>
      <c r="K93" s="27">
        <f t="shared" si="3"/>
        <v>0</v>
      </c>
      <c r="L93" s="27"/>
      <c r="M93" s="27"/>
      <c r="N93" s="1"/>
      <c r="O93" s="27">
        <f>P93+Q93</f>
        <v>0</v>
      </c>
      <c r="P93" s="27"/>
      <c r="Q93" s="27"/>
      <c r="R93" s="20"/>
    </row>
    <row r="94" spans="1:38" ht="13.15" customHeight="1">
      <c r="A94" s="24"/>
      <c r="B94" s="23" t="s">
        <v>75</v>
      </c>
      <c r="C94" s="24" t="s">
        <v>18</v>
      </c>
      <c r="D94" s="23"/>
      <c r="E94" s="23" t="s">
        <v>133</v>
      </c>
      <c r="F94" s="23" t="s">
        <v>120</v>
      </c>
      <c r="G94" s="23" t="s">
        <v>131</v>
      </c>
      <c r="H94" s="25">
        <v>0</v>
      </c>
      <c r="I94" s="1"/>
      <c r="J94" s="26"/>
      <c r="K94" s="27">
        <f t="shared" si="3"/>
        <v>0</v>
      </c>
      <c r="L94" s="27"/>
      <c r="M94" s="27"/>
      <c r="N94" s="1">
        <v>4</v>
      </c>
      <c r="O94" s="27">
        <v>0</v>
      </c>
      <c r="P94" s="27"/>
      <c r="Q94" s="27"/>
      <c r="R94" s="20"/>
    </row>
    <row r="95" spans="1:38" ht="15" customHeight="1">
      <c r="A95" s="24"/>
      <c r="B95" s="23" t="s">
        <v>140</v>
      </c>
      <c r="C95" s="24" t="s">
        <v>18</v>
      </c>
      <c r="D95" s="23"/>
      <c r="E95" s="23" t="s">
        <v>76</v>
      </c>
      <c r="F95" s="23" t="s">
        <v>120</v>
      </c>
      <c r="G95" s="23" t="s">
        <v>136</v>
      </c>
      <c r="H95" s="25">
        <v>0</v>
      </c>
      <c r="I95" s="2"/>
      <c r="J95" s="26"/>
      <c r="K95" s="27">
        <f t="shared" si="3"/>
        <v>0</v>
      </c>
      <c r="L95" s="27"/>
      <c r="M95" s="27"/>
      <c r="N95" s="2"/>
      <c r="O95" s="27">
        <f>P95+Q95</f>
        <v>0</v>
      </c>
      <c r="P95" s="27"/>
      <c r="Q95" s="27"/>
      <c r="R95" s="20"/>
    </row>
    <row r="96" spans="1:38" s="17" customFormat="1" ht="15" customHeight="1">
      <c r="A96" s="24">
        <v>46</v>
      </c>
      <c r="B96" s="23" t="s">
        <v>267</v>
      </c>
      <c r="C96" s="24" t="s">
        <v>18</v>
      </c>
      <c r="D96" s="23"/>
      <c r="E96" s="23" t="s">
        <v>132</v>
      </c>
      <c r="F96" s="23" t="s">
        <v>268</v>
      </c>
      <c r="G96" s="23" t="s">
        <v>142</v>
      </c>
      <c r="H96" s="25">
        <v>0</v>
      </c>
      <c r="I96" s="2"/>
      <c r="J96" s="26"/>
      <c r="K96" s="27">
        <f t="shared" si="3"/>
        <v>0</v>
      </c>
      <c r="L96" s="27"/>
      <c r="M96" s="27"/>
      <c r="N96" s="2"/>
      <c r="O96" s="27">
        <f>P96+Q96</f>
        <v>0</v>
      </c>
      <c r="P96" s="27"/>
      <c r="Q96" s="27"/>
      <c r="R96" s="20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:38" s="17" customFormat="1" ht="15" customHeight="1">
      <c r="A97" s="24"/>
      <c r="B97" s="23" t="s">
        <v>267</v>
      </c>
      <c r="C97" s="24" t="s">
        <v>18</v>
      </c>
      <c r="D97" s="23"/>
      <c r="E97" s="23" t="s">
        <v>132</v>
      </c>
      <c r="F97" s="23" t="s">
        <v>120</v>
      </c>
      <c r="G97" s="23" t="s">
        <v>131</v>
      </c>
      <c r="H97" s="25">
        <v>0</v>
      </c>
      <c r="I97" s="2"/>
      <c r="J97" s="26"/>
      <c r="K97" s="27">
        <f t="shared" si="3"/>
        <v>0</v>
      </c>
      <c r="L97" s="27"/>
      <c r="M97" s="27"/>
      <c r="N97" s="2"/>
      <c r="O97" s="27"/>
      <c r="P97" s="27"/>
      <c r="Q97" s="27"/>
      <c r="R97" s="20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:38" ht="15" customHeight="1">
      <c r="A98" s="24"/>
      <c r="B98" s="23" t="s">
        <v>267</v>
      </c>
      <c r="C98" s="24" t="s">
        <v>18</v>
      </c>
      <c r="D98" s="23"/>
      <c r="E98" s="23" t="s">
        <v>132</v>
      </c>
      <c r="F98" s="23" t="s">
        <v>123</v>
      </c>
      <c r="G98" s="23" t="s">
        <v>122</v>
      </c>
      <c r="H98" s="25">
        <v>0</v>
      </c>
      <c r="I98" s="2"/>
      <c r="J98" s="26"/>
      <c r="K98" s="27">
        <f t="shared" si="3"/>
        <v>0</v>
      </c>
      <c r="L98" s="27"/>
      <c r="M98" s="27"/>
      <c r="N98" s="2"/>
      <c r="O98" s="27"/>
      <c r="P98" s="27"/>
      <c r="Q98" s="27"/>
      <c r="R98" s="20"/>
    </row>
    <row r="99" spans="1:38" ht="30.75" customHeight="1">
      <c r="A99" s="24">
        <v>47</v>
      </c>
      <c r="B99" s="23" t="s">
        <v>78</v>
      </c>
      <c r="C99" s="24" t="s">
        <v>18</v>
      </c>
      <c r="D99" s="23" t="s">
        <v>276</v>
      </c>
      <c r="E99" s="23" t="s">
        <v>19</v>
      </c>
      <c r="F99" s="23" t="s">
        <v>123</v>
      </c>
      <c r="G99" s="23" t="s">
        <v>142</v>
      </c>
      <c r="H99" s="25">
        <v>5</v>
      </c>
      <c r="I99" s="1">
        <v>2</v>
      </c>
      <c r="J99" s="26">
        <v>2</v>
      </c>
      <c r="K99" s="27">
        <f t="shared" si="3"/>
        <v>0</v>
      </c>
      <c r="L99" s="27"/>
      <c r="M99" s="27"/>
      <c r="N99" s="1">
        <v>1</v>
      </c>
      <c r="O99" s="27">
        <f t="shared" si="4"/>
        <v>0</v>
      </c>
      <c r="P99" s="27"/>
      <c r="Q99" s="27"/>
      <c r="R99" s="20"/>
    </row>
    <row r="100" spans="1:38" s="7" customFormat="1" ht="15" customHeight="1">
      <c r="A100" s="24"/>
      <c r="B100" s="23" t="s">
        <v>78</v>
      </c>
      <c r="C100" s="24" t="s">
        <v>18</v>
      </c>
      <c r="D100" s="23"/>
      <c r="E100" s="23" t="s">
        <v>19</v>
      </c>
      <c r="F100" s="23" t="s">
        <v>120</v>
      </c>
      <c r="G100" s="23" t="s">
        <v>131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ht="15" customHeight="1">
      <c r="A101" s="24"/>
      <c r="B101" s="23" t="s">
        <v>78</v>
      </c>
      <c r="C101" s="24" t="s">
        <v>18</v>
      </c>
      <c r="D101" s="23"/>
      <c r="E101" s="23" t="s">
        <v>19</v>
      </c>
      <c r="F101" s="23" t="s">
        <v>120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ht="15" customHeight="1">
      <c r="A102" s="24">
        <v>48</v>
      </c>
      <c r="B102" s="23" t="s">
        <v>79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49</v>
      </c>
      <c r="B103" s="23" t="s">
        <v>80</v>
      </c>
      <c r="C103" s="24" t="s">
        <v>18</v>
      </c>
      <c r="D103" s="23"/>
      <c r="E103" s="23" t="s">
        <v>19</v>
      </c>
      <c r="F103" s="23" t="s">
        <v>120</v>
      </c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/>
      <c r="B104" s="23" t="s">
        <v>80</v>
      </c>
      <c r="C104" s="24" t="s">
        <v>18</v>
      </c>
      <c r="D104" s="23"/>
      <c r="E104" s="23" t="s">
        <v>19</v>
      </c>
      <c r="F104" s="23" t="s">
        <v>120</v>
      </c>
      <c r="G104" s="23" t="s">
        <v>122</v>
      </c>
      <c r="H104" s="25">
        <v>0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50</v>
      </c>
      <c r="B105" s="23" t="s">
        <v>81</v>
      </c>
      <c r="C105" s="24" t="s">
        <v>18</v>
      </c>
      <c r="D105" s="23"/>
      <c r="E105" s="23" t="s">
        <v>19</v>
      </c>
      <c r="F105" s="23" t="s">
        <v>120</v>
      </c>
      <c r="G105" s="23" t="s">
        <v>142</v>
      </c>
      <c r="H105" s="25">
        <v>0</v>
      </c>
      <c r="I105" s="1"/>
      <c r="J105" s="26"/>
      <c r="K105" s="27">
        <f t="shared" si="3"/>
        <v>0</v>
      </c>
      <c r="L105" s="27"/>
      <c r="M105" s="27"/>
      <c r="N105" s="1"/>
      <c r="O105" s="27">
        <f t="shared" si="4"/>
        <v>0</v>
      </c>
      <c r="P105" s="27"/>
      <c r="Q105" s="27"/>
      <c r="R105" s="20"/>
    </row>
    <row r="106" spans="1:38" ht="15" customHeight="1">
      <c r="A106" s="24"/>
      <c r="B106" s="23" t="s">
        <v>81</v>
      </c>
      <c r="C106" s="24" t="s">
        <v>18</v>
      </c>
      <c r="D106" s="23"/>
      <c r="E106" s="23" t="s">
        <v>19</v>
      </c>
      <c r="F106" s="23" t="s">
        <v>292</v>
      </c>
      <c r="G106" s="23" t="s">
        <v>122</v>
      </c>
      <c r="H106" s="25">
        <v>0</v>
      </c>
      <c r="I106" s="1"/>
      <c r="J106" s="26"/>
      <c r="K106" s="27"/>
      <c r="L106" s="27"/>
      <c r="M106" s="27"/>
      <c r="N106" s="1"/>
      <c r="O106" s="27"/>
      <c r="P106" s="27"/>
      <c r="Q106" s="27"/>
      <c r="R106" s="20"/>
    </row>
    <row r="107" spans="1:38" s="7" customFormat="1" ht="15" customHeight="1">
      <c r="A107" s="24">
        <v>51</v>
      </c>
      <c r="B107" s="23" t="s">
        <v>82</v>
      </c>
      <c r="C107" s="24" t="s">
        <v>18</v>
      </c>
      <c r="D107" s="23"/>
      <c r="E107" s="23" t="s">
        <v>19</v>
      </c>
      <c r="F107" s="23" t="s">
        <v>295</v>
      </c>
      <c r="G107" s="23" t="s">
        <v>142</v>
      </c>
      <c r="H107" s="25">
        <v>2</v>
      </c>
      <c r="I107" s="1"/>
      <c r="J107" s="26"/>
      <c r="K107" s="27">
        <f t="shared" si="3"/>
        <v>0</v>
      </c>
      <c r="L107" s="27"/>
      <c r="M107" s="27"/>
      <c r="N107" s="1"/>
      <c r="O107" s="27">
        <f t="shared" si="4"/>
        <v>0</v>
      </c>
      <c r="P107" s="27"/>
      <c r="Q107" s="27"/>
      <c r="R107" s="20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 spans="1:38" s="7" customFormat="1" ht="15" customHeight="1">
      <c r="A108" s="24"/>
      <c r="B108" s="23" t="s">
        <v>82</v>
      </c>
      <c r="C108" s="24" t="s">
        <v>18</v>
      </c>
      <c r="D108" s="23"/>
      <c r="E108" s="23" t="s">
        <v>19</v>
      </c>
      <c r="F108" s="23" t="s">
        <v>295</v>
      </c>
      <c r="G108" s="23" t="s">
        <v>122</v>
      </c>
      <c r="H108" s="25">
        <v>0</v>
      </c>
      <c r="I108" s="1"/>
      <c r="J108" s="26"/>
      <c r="K108" s="27">
        <f t="shared" si="3"/>
        <v>0</v>
      </c>
      <c r="L108" s="27"/>
      <c r="M108" s="27"/>
      <c r="N108" s="1"/>
      <c r="O108" s="27">
        <f t="shared" si="4"/>
        <v>0</v>
      </c>
      <c r="P108" s="27"/>
      <c r="Q108" s="27"/>
      <c r="R108" s="20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 spans="1:38" ht="14.45" customHeight="1">
      <c r="A109" s="24">
        <v>52</v>
      </c>
      <c r="B109" s="23" t="s">
        <v>83</v>
      </c>
      <c r="C109" s="24" t="s">
        <v>30</v>
      </c>
      <c r="D109" s="23" t="s">
        <v>184</v>
      </c>
      <c r="E109" s="23" t="s">
        <v>19</v>
      </c>
      <c r="F109" s="23" t="s">
        <v>123</v>
      </c>
      <c r="G109" s="23" t="s">
        <v>142</v>
      </c>
      <c r="H109" s="25">
        <v>5</v>
      </c>
      <c r="I109" s="1"/>
      <c r="J109" s="26"/>
      <c r="K109" s="27">
        <f t="shared" si="3"/>
        <v>0</v>
      </c>
      <c r="L109" s="27"/>
      <c r="M109" s="27"/>
      <c r="N109" s="1"/>
      <c r="O109" s="27">
        <f t="shared" si="4"/>
        <v>0</v>
      </c>
      <c r="P109" s="27"/>
      <c r="Q109" s="27"/>
      <c r="R109" s="20"/>
    </row>
    <row r="110" spans="1:38" s="7" customFormat="1" ht="15" customHeight="1">
      <c r="A110" s="24">
        <v>53</v>
      </c>
      <c r="B110" s="23" t="s">
        <v>84</v>
      </c>
      <c r="C110" s="24" t="s">
        <v>18</v>
      </c>
      <c r="D110" s="23"/>
      <c r="E110" s="23" t="s">
        <v>19</v>
      </c>
      <c r="F110" s="23" t="s">
        <v>123</v>
      </c>
      <c r="G110" s="23" t="s">
        <v>142</v>
      </c>
      <c r="H110" s="25">
        <v>1</v>
      </c>
      <c r="I110" s="1"/>
      <c r="J110" s="26"/>
      <c r="K110" s="27">
        <f t="shared" si="3"/>
        <v>0</v>
      </c>
      <c r="L110" s="27"/>
      <c r="M110" s="27"/>
      <c r="N110" s="1">
        <v>4</v>
      </c>
      <c r="O110" s="27">
        <f t="shared" si="4"/>
        <v>0</v>
      </c>
      <c r="P110" s="27"/>
      <c r="Q110" s="27"/>
      <c r="R110" s="20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</row>
    <row r="111" spans="1:38" ht="15" customHeight="1">
      <c r="A111" s="24"/>
      <c r="B111" s="23" t="s">
        <v>84</v>
      </c>
      <c r="C111" s="24" t="s">
        <v>18</v>
      </c>
      <c r="D111" s="23"/>
      <c r="E111" s="23" t="s">
        <v>19</v>
      </c>
      <c r="F111" s="23" t="s">
        <v>123</v>
      </c>
      <c r="G111" s="23" t="s">
        <v>122</v>
      </c>
      <c r="H111" s="25">
        <v>0</v>
      </c>
      <c r="I111" s="1"/>
      <c r="J111" s="26"/>
      <c r="K111" s="27">
        <f t="shared" si="3"/>
        <v>0</v>
      </c>
      <c r="L111" s="27"/>
      <c r="M111" s="27"/>
      <c r="N111" s="1"/>
      <c r="O111" s="27">
        <f t="shared" si="4"/>
        <v>0</v>
      </c>
      <c r="P111" s="27"/>
      <c r="Q111" s="27"/>
      <c r="R111" s="20"/>
    </row>
    <row r="112" spans="1:38" ht="15" customHeight="1">
      <c r="A112" s="24">
        <v>54</v>
      </c>
      <c r="B112" s="23" t="s">
        <v>85</v>
      </c>
      <c r="C112" s="24" t="s">
        <v>18</v>
      </c>
      <c r="D112" s="23"/>
      <c r="E112" s="23" t="s">
        <v>77</v>
      </c>
      <c r="F112" s="23" t="s">
        <v>120</v>
      </c>
      <c r="G112" s="23" t="s">
        <v>142</v>
      </c>
      <c r="H112" s="25">
        <v>1</v>
      </c>
      <c r="I112" s="1"/>
      <c r="J112" s="26"/>
      <c r="K112" s="27">
        <f t="shared" si="3"/>
        <v>0</v>
      </c>
      <c r="L112" s="27"/>
      <c r="M112" s="27"/>
      <c r="N112" s="1">
        <v>7</v>
      </c>
      <c r="O112" s="27">
        <f t="shared" si="4"/>
        <v>0</v>
      </c>
      <c r="P112" s="27"/>
      <c r="Q112" s="27"/>
      <c r="R112" s="20"/>
    </row>
    <row r="113" spans="1:38" ht="15" customHeight="1">
      <c r="A113" s="24"/>
      <c r="B113" s="23" t="s">
        <v>85</v>
      </c>
      <c r="C113" s="24" t="s">
        <v>18</v>
      </c>
      <c r="D113" s="23"/>
      <c r="E113" s="23" t="s">
        <v>134</v>
      </c>
      <c r="F113" s="23" t="s">
        <v>123</v>
      </c>
      <c r="G113" s="23" t="s">
        <v>131</v>
      </c>
      <c r="H113" s="25">
        <v>2</v>
      </c>
      <c r="I113" s="1"/>
      <c r="J113" s="26"/>
      <c r="K113" s="27">
        <f t="shared" si="3"/>
        <v>0</v>
      </c>
      <c r="L113" s="27"/>
      <c r="M113" s="27"/>
      <c r="N113" s="1">
        <v>2</v>
      </c>
      <c r="O113" s="27">
        <f t="shared" si="4"/>
        <v>0</v>
      </c>
      <c r="P113" s="27"/>
      <c r="Q113" s="27"/>
      <c r="R113" s="20"/>
    </row>
    <row r="114" spans="1:38" ht="15" customHeight="1">
      <c r="A114" s="24">
        <v>55</v>
      </c>
      <c r="B114" s="23" t="s">
        <v>86</v>
      </c>
      <c r="C114" s="24" t="s">
        <v>18</v>
      </c>
      <c r="D114" s="23"/>
      <c r="E114" s="23" t="s">
        <v>77</v>
      </c>
      <c r="F114" s="23" t="s">
        <v>295</v>
      </c>
      <c r="G114" s="23" t="s">
        <v>142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>
        <v>1</v>
      </c>
      <c r="O114" s="27">
        <f t="shared" si="4"/>
        <v>0</v>
      </c>
      <c r="P114" s="27"/>
      <c r="Q114" s="27"/>
      <c r="R114" s="20"/>
    </row>
    <row r="115" spans="1:38" ht="15" customHeight="1">
      <c r="A115" s="24"/>
      <c r="B115" s="23" t="s">
        <v>86</v>
      </c>
      <c r="C115" s="24" t="s">
        <v>18</v>
      </c>
      <c r="D115" s="23"/>
      <c r="E115" s="23" t="s">
        <v>134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</row>
    <row r="116" spans="1:38" ht="28.9" customHeight="1">
      <c r="A116" s="29">
        <v>56</v>
      </c>
      <c r="B116" s="30" t="s">
        <v>87</v>
      </c>
      <c r="C116" s="29" t="s">
        <v>52</v>
      </c>
      <c r="D116" s="30" t="s">
        <v>88</v>
      </c>
      <c r="E116" s="30" t="s">
        <v>19</v>
      </c>
      <c r="F116" s="30" t="s">
        <v>292</v>
      </c>
      <c r="G116" s="30" t="s">
        <v>142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29.25" customHeight="1">
      <c r="A117" s="29"/>
      <c r="B117" s="30" t="s">
        <v>87</v>
      </c>
      <c r="C117" s="29" t="s">
        <v>52</v>
      </c>
      <c r="D117" s="30" t="s">
        <v>88</v>
      </c>
      <c r="E117" s="30" t="s">
        <v>19</v>
      </c>
      <c r="F117" s="30" t="s">
        <v>123</v>
      </c>
      <c r="G117" s="30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26.25" customHeight="1">
      <c r="A118" s="24">
        <v>57</v>
      </c>
      <c r="B118" s="23" t="s">
        <v>89</v>
      </c>
      <c r="C118" s="24" t="s">
        <v>18</v>
      </c>
      <c r="D118" s="23"/>
      <c r="E118" s="23" t="s">
        <v>19</v>
      </c>
      <c r="F118" s="23" t="s">
        <v>292</v>
      </c>
      <c r="G118" s="23" t="s">
        <v>142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7" customFormat="1" ht="15" customHeight="1">
      <c r="A119" s="24"/>
      <c r="B119" s="23" t="s">
        <v>89</v>
      </c>
      <c r="C119" s="24" t="s">
        <v>18</v>
      </c>
      <c r="D119" s="23"/>
      <c r="E119" s="23" t="s">
        <v>19</v>
      </c>
      <c r="F119" s="23" t="s">
        <v>296</v>
      </c>
      <c r="G119" s="23" t="s">
        <v>122</v>
      </c>
      <c r="H119" s="25">
        <v>1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ht="15" customHeight="1">
      <c r="A120" s="24">
        <v>58</v>
      </c>
      <c r="B120" s="23" t="s">
        <v>90</v>
      </c>
      <c r="C120" s="24" t="s">
        <v>18</v>
      </c>
      <c r="D120" s="23"/>
      <c r="E120" s="23" t="s">
        <v>19</v>
      </c>
      <c r="F120" s="23" t="s">
        <v>292</v>
      </c>
      <c r="G120" s="23" t="s">
        <v>142</v>
      </c>
      <c r="H120" s="25">
        <v>1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s="7" customFormat="1" ht="15" customHeight="1">
      <c r="A121" s="24">
        <v>59</v>
      </c>
      <c r="B121" s="23" t="s">
        <v>91</v>
      </c>
      <c r="C121" s="24" t="s">
        <v>18</v>
      </c>
      <c r="D121" s="23"/>
      <c r="E121" s="23" t="s">
        <v>92</v>
      </c>
      <c r="F121" s="23" t="s">
        <v>292</v>
      </c>
      <c r="G121" s="23" t="s">
        <v>142</v>
      </c>
      <c r="H121" s="25">
        <v>0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91</v>
      </c>
      <c r="C122" s="24" t="s">
        <v>18</v>
      </c>
      <c r="D122" s="23"/>
      <c r="E122" s="23" t="s">
        <v>92</v>
      </c>
      <c r="F122" s="23" t="s">
        <v>123</v>
      </c>
      <c r="G122" s="23" t="s">
        <v>136</v>
      </c>
      <c r="H122" s="25">
        <v>0</v>
      </c>
      <c r="I122" s="2"/>
      <c r="J122" s="26"/>
      <c r="K122" s="27">
        <f t="shared" si="3"/>
        <v>0</v>
      </c>
      <c r="L122" s="27"/>
      <c r="M122" s="27"/>
      <c r="N122" s="2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ht="15" customHeight="1">
      <c r="A123" s="24">
        <v>60</v>
      </c>
      <c r="B123" s="23" t="s">
        <v>93</v>
      </c>
      <c r="C123" s="24" t="s">
        <v>18</v>
      </c>
      <c r="D123" s="23"/>
      <c r="E123" s="23" t="s">
        <v>19</v>
      </c>
      <c r="F123" s="23" t="s">
        <v>123</v>
      </c>
      <c r="G123" s="23" t="s">
        <v>142</v>
      </c>
      <c r="H123" s="25">
        <v>0</v>
      </c>
      <c r="I123" s="2"/>
      <c r="J123" s="26"/>
      <c r="K123" s="27">
        <f t="shared" si="3"/>
        <v>0</v>
      </c>
      <c r="L123" s="27"/>
      <c r="M123" s="27"/>
      <c r="N123" s="2"/>
      <c r="O123" s="27">
        <f t="shared" si="4"/>
        <v>0</v>
      </c>
      <c r="P123" s="27"/>
      <c r="Q123" s="27"/>
      <c r="R123" s="20"/>
    </row>
    <row r="124" spans="1:38" s="17" customFormat="1" ht="15" customHeight="1">
      <c r="A124" s="24"/>
      <c r="B124" s="23" t="s">
        <v>93</v>
      </c>
      <c r="C124" s="24" t="s">
        <v>18</v>
      </c>
      <c r="D124" s="23"/>
      <c r="E124" s="23" t="s">
        <v>19</v>
      </c>
      <c r="F124" s="23" t="s">
        <v>120</v>
      </c>
      <c r="G124" s="23" t="s">
        <v>131</v>
      </c>
      <c r="H124" s="25">
        <v>0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</row>
    <row r="125" spans="1:38" ht="15" customHeight="1">
      <c r="A125" s="24"/>
      <c r="B125" s="23" t="s">
        <v>93</v>
      </c>
      <c r="C125" s="24" t="s">
        <v>18</v>
      </c>
      <c r="D125" s="23"/>
      <c r="E125" s="23"/>
      <c r="F125" s="23" t="s">
        <v>297</v>
      </c>
      <c r="G125" s="23" t="s">
        <v>122</v>
      </c>
      <c r="H125" s="25">
        <v>1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</row>
    <row r="126" spans="1:38" ht="15" customHeight="1">
      <c r="A126" s="24">
        <v>61</v>
      </c>
      <c r="B126" s="23" t="s">
        <v>281</v>
      </c>
      <c r="C126" s="24" t="s">
        <v>18</v>
      </c>
      <c r="D126" s="23"/>
      <c r="E126" s="23" t="s">
        <v>280</v>
      </c>
      <c r="F126" s="23" t="s">
        <v>123</v>
      </c>
      <c r="G126" s="23" t="s">
        <v>142</v>
      </c>
      <c r="H126" s="25">
        <v>0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</row>
    <row r="127" spans="1:38" ht="15" customHeight="1">
      <c r="A127" s="24"/>
      <c r="B127" s="23" t="s">
        <v>281</v>
      </c>
      <c r="C127" s="24" t="s">
        <v>18</v>
      </c>
      <c r="D127" s="23"/>
      <c r="E127" s="23" t="s">
        <v>19</v>
      </c>
      <c r="F127" s="23" t="s">
        <v>285</v>
      </c>
      <c r="G127" s="23" t="s">
        <v>131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1</v>
      </c>
      <c r="O127" s="27"/>
      <c r="P127" s="27"/>
      <c r="Q127" s="27"/>
      <c r="R127" s="20"/>
    </row>
    <row r="128" spans="1:38" ht="15" customHeight="1">
      <c r="A128" s="24"/>
      <c r="B128" s="23" t="s">
        <v>281</v>
      </c>
      <c r="C128" s="24" t="s">
        <v>18</v>
      </c>
      <c r="D128" s="23"/>
      <c r="E128" s="23" t="s">
        <v>19</v>
      </c>
      <c r="F128" s="23" t="s">
        <v>120</v>
      </c>
      <c r="G128" s="23" t="s">
        <v>122</v>
      </c>
      <c r="H128" s="25">
        <v>1</v>
      </c>
      <c r="I128" s="1"/>
      <c r="J128" s="26"/>
      <c r="K128" s="27">
        <f t="shared" si="3"/>
        <v>0</v>
      </c>
      <c r="L128" s="27"/>
      <c r="M128" s="27"/>
      <c r="N128" s="1"/>
      <c r="O128" s="27">
        <f t="shared" si="4"/>
        <v>0</v>
      </c>
      <c r="P128" s="27"/>
      <c r="Q128" s="27"/>
      <c r="R128" s="20"/>
    </row>
    <row r="129" spans="1:38" ht="15" customHeight="1">
      <c r="A129" s="24">
        <v>62</v>
      </c>
      <c r="B129" s="23" t="s">
        <v>94</v>
      </c>
      <c r="C129" s="24" t="s">
        <v>18</v>
      </c>
      <c r="D129" s="23"/>
      <c r="E129" s="23" t="s">
        <v>95</v>
      </c>
      <c r="F129" s="23" t="s">
        <v>292</v>
      </c>
      <c r="G129" s="23" t="s">
        <v>142</v>
      </c>
      <c r="H129" s="25">
        <v>3</v>
      </c>
      <c r="I129" s="1">
        <v>1</v>
      </c>
      <c r="J129" s="26">
        <v>1</v>
      </c>
      <c r="K129" s="27">
        <f t="shared" si="3"/>
        <v>0</v>
      </c>
      <c r="L129" s="27"/>
      <c r="M129" s="27"/>
      <c r="N129" s="1">
        <v>5</v>
      </c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/>
      <c r="B130" s="23" t="s">
        <v>128</v>
      </c>
      <c r="C130" s="24" t="s">
        <v>18</v>
      </c>
      <c r="D130" s="23"/>
      <c r="E130" s="23" t="s">
        <v>95</v>
      </c>
      <c r="F130" s="23" t="s">
        <v>123</v>
      </c>
      <c r="G130" s="23" t="s">
        <v>124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/>
      <c r="O130" s="27">
        <f t="shared" si="4"/>
        <v>0</v>
      </c>
      <c r="P130" s="27"/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128</v>
      </c>
      <c r="C131" s="24" t="s">
        <v>18</v>
      </c>
      <c r="D131" s="23"/>
      <c r="E131" s="23" t="s">
        <v>95</v>
      </c>
      <c r="F131" s="23" t="s">
        <v>123</v>
      </c>
      <c r="G131" s="23" t="s">
        <v>131</v>
      </c>
      <c r="H131" s="25">
        <v>0</v>
      </c>
      <c r="I131" s="2"/>
      <c r="J131" s="26"/>
      <c r="K131" s="27">
        <f t="shared" si="3"/>
        <v>0</v>
      </c>
      <c r="L131" s="27"/>
      <c r="M131" s="27"/>
      <c r="N131" s="2"/>
      <c r="O131" s="27">
        <f t="shared" si="4"/>
        <v>0</v>
      </c>
      <c r="P131" s="27"/>
      <c r="Q131" s="27"/>
      <c r="R131" s="20"/>
    </row>
    <row r="132" spans="1:38" ht="15" customHeight="1">
      <c r="A132" s="24">
        <v>63</v>
      </c>
      <c r="B132" s="23" t="s">
        <v>96</v>
      </c>
      <c r="C132" s="24" t="s">
        <v>18</v>
      </c>
      <c r="D132" s="23"/>
      <c r="E132" s="23" t="s">
        <v>19</v>
      </c>
      <c r="F132" s="23" t="s">
        <v>120</v>
      </c>
      <c r="G132" s="23" t="s">
        <v>142</v>
      </c>
      <c r="H132" s="25">
        <v>0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ht="15" customHeight="1">
      <c r="A133" s="24"/>
      <c r="B133" s="23" t="s">
        <v>96</v>
      </c>
      <c r="C133" s="24" t="s">
        <v>18</v>
      </c>
      <c r="D133" s="23"/>
      <c r="E133" s="23" t="s">
        <v>19</v>
      </c>
      <c r="F133" s="23" t="s">
        <v>292</v>
      </c>
      <c r="G133" s="23" t="s">
        <v>131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15" customHeight="1">
      <c r="A134" s="24"/>
      <c r="B134" s="23" t="s">
        <v>96</v>
      </c>
      <c r="C134" s="24" t="s">
        <v>18</v>
      </c>
      <c r="D134" s="23"/>
      <c r="E134" s="23" t="s">
        <v>19</v>
      </c>
      <c r="F134" s="23" t="s">
        <v>292</v>
      </c>
      <c r="G134" s="23" t="s">
        <v>122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/>
      <c r="O134" s="27">
        <f t="shared" si="4"/>
        <v>0</v>
      </c>
      <c r="P134" s="27"/>
      <c r="Q134" s="27"/>
      <c r="R134" s="20"/>
    </row>
    <row r="135" spans="1:38" ht="15" customHeight="1">
      <c r="A135" s="24"/>
      <c r="B135" s="23" t="s">
        <v>96</v>
      </c>
      <c r="C135" s="24" t="s">
        <v>18</v>
      </c>
      <c r="D135" s="23"/>
      <c r="E135" s="22" t="s">
        <v>19</v>
      </c>
      <c r="F135" s="23" t="s">
        <v>292</v>
      </c>
      <c r="G135" s="22" t="s">
        <v>136</v>
      </c>
      <c r="H135" s="45">
        <v>0</v>
      </c>
      <c r="I135" s="1"/>
      <c r="J135" s="26"/>
      <c r="K135" s="27">
        <f t="shared" si="3"/>
        <v>0</v>
      </c>
      <c r="L135" s="27"/>
      <c r="M135" s="27"/>
      <c r="N135" s="1"/>
      <c r="O135" s="27">
        <f t="shared" si="4"/>
        <v>0</v>
      </c>
      <c r="P135" s="27"/>
      <c r="Q135" s="27"/>
      <c r="R135" s="20"/>
    </row>
    <row r="136" spans="1:38" ht="15" customHeight="1">
      <c r="A136" s="24">
        <v>64</v>
      </c>
      <c r="B136" s="23" t="s">
        <v>97</v>
      </c>
      <c r="C136" s="24" t="s">
        <v>18</v>
      </c>
      <c r="D136" s="23"/>
      <c r="E136" s="23" t="s">
        <v>19</v>
      </c>
      <c r="F136" s="23" t="s">
        <v>120</v>
      </c>
      <c r="G136" s="23" t="s">
        <v>142</v>
      </c>
      <c r="H136" s="25">
        <v>1</v>
      </c>
      <c r="I136" s="1"/>
      <c r="J136" s="26"/>
      <c r="K136" s="27">
        <f t="shared" si="3"/>
        <v>0</v>
      </c>
      <c r="L136" s="27"/>
      <c r="M136" s="27"/>
      <c r="N136" s="1"/>
      <c r="O136" s="27">
        <f t="shared" si="4"/>
        <v>0</v>
      </c>
      <c r="P136" s="27"/>
      <c r="Q136" s="27"/>
      <c r="R136" s="20"/>
    </row>
    <row r="137" spans="1:38" ht="15" customHeight="1">
      <c r="A137" s="24">
        <v>65</v>
      </c>
      <c r="B137" s="23" t="s">
        <v>98</v>
      </c>
      <c r="C137" s="24" t="s">
        <v>18</v>
      </c>
      <c r="D137" s="23"/>
      <c r="E137" s="23" t="s">
        <v>19</v>
      </c>
      <c r="F137" s="23" t="s">
        <v>120</v>
      </c>
      <c r="G137" s="23" t="s">
        <v>142</v>
      </c>
      <c r="H137" s="25">
        <v>1</v>
      </c>
      <c r="I137" s="1">
        <v>1</v>
      </c>
      <c r="J137" s="26">
        <v>1</v>
      </c>
      <c r="K137" s="27">
        <f t="shared" si="3"/>
        <v>0</v>
      </c>
      <c r="L137" s="27"/>
      <c r="M137" s="27"/>
      <c r="N137" s="1">
        <v>2</v>
      </c>
      <c r="O137" s="27">
        <f t="shared" si="4"/>
        <v>0</v>
      </c>
      <c r="P137" s="27"/>
      <c r="Q137" s="27"/>
      <c r="R137" s="20"/>
    </row>
    <row r="138" spans="1:38" ht="15" customHeight="1">
      <c r="A138" s="24">
        <v>66</v>
      </c>
      <c r="B138" s="23" t="s">
        <v>99</v>
      </c>
      <c r="C138" s="24" t="s">
        <v>18</v>
      </c>
      <c r="D138" s="23"/>
      <c r="E138" s="23" t="s">
        <v>19</v>
      </c>
      <c r="F138" s="23" t="s">
        <v>120</v>
      </c>
      <c r="G138" s="23" t="s">
        <v>142</v>
      </c>
      <c r="H138" s="25">
        <v>0</v>
      </c>
      <c r="I138" s="1"/>
      <c r="J138" s="26"/>
      <c r="K138" s="27">
        <f t="shared" si="3"/>
        <v>0</v>
      </c>
      <c r="L138" s="27"/>
      <c r="M138" s="27"/>
      <c r="N138" s="1"/>
      <c r="O138" s="27">
        <f t="shared" si="4"/>
        <v>0</v>
      </c>
      <c r="P138" s="27"/>
      <c r="Q138" s="27"/>
      <c r="R138" s="20"/>
    </row>
    <row r="139" spans="1:38" ht="24.6" customHeight="1">
      <c r="A139" s="29">
        <v>67</v>
      </c>
      <c r="B139" s="30" t="s">
        <v>100</v>
      </c>
      <c r="C139" s="29" t="s">
        <v>30</v>
      </c>
      <c r="D139" s="30" t="s">
        <v>101</v>
      </c>
      <c r="E139" s="30" t="s">
        <v>19</v>
      </c>
      <c r="F139" s="23" t="s">
        <v>120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/>
      <c r="O139" s="27">
        <f t="shared" si="4"/>
        <v>0</v>
      </c>
      <c r="P139" s="27"/>
      <c r="Q139" s="27"/>
      <c r="R139" s="20"/>
    </row>
    <row r="140" spans="1:38" s="7" customFormat="1" ht="29.25" customHeight="1">
      <c r="A140" s="29"/>
      <c r="B140" s="30" t="s">
        <v>100</v>
      </c>
      <c r="C140" s="29" t="s">
        <v>30</v>
      </c>
      <c r="D140" s="30" t="s">
        <v>101</v>
      </c>
      <c r="E140" s="30" t="s">
        <v>19</v>
      </c>
      <c r="F140" s="30" t="s">
        <v>292</v>
      </c>
      <c r="G140" s="30" t="s">
        <v>122</v>
      </c>
      <c r="H140" s="25">
        <v>0</v>
      </c>
      <c r="I140" s="1"/>
      <c r="J140" s="26"/>
      <c r="K140" s="27">
        <f t="shared" si="3"/>
        <v>0</v>
      </c>
      <c r="L140" s="27"/>
      <c r="M140" s="27"/>
      <c r="N140" s="1"/>
      <c r="O140" s="27">
        <f t="shared" si="4"/>
        <v>0</v>
      </c>
      <c r="P140" s="27"/>
      <c r="Q140" s="27"/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26.25" customHeight="1">
      <c r="A141" s="46">
        <v>68</v>
      </c>
      <c r="B141" s="60" t="s">
        <v>144</v>
      </c>
      <c r="C141" s="46" t="s">
        <v>18</v>
      </c>
      <c r="D141" s="60"/>
      <c r="E141" s="60"/>
      <c r="F141" s="60" t="s">
        <v>120</v>
      </c>
      <c r="G141" s="60" t="s">
        <v>142</v>
      </c>
      <c r="H141" s="61">
        <v>0</v>
      </c>
      <c r="I141" s="1"/>
      <c r="J141" s="26"/>
      <c r="K141" s="27">
        <f t="shared" si="3"/>
        <v>0</v>
      </c>
      <c r="L141" s="63"/>
      <c r="M141" s="63"/>
      <c r="N141" s="1"/>
      <c r="O141" s="63">
        <f t="shared" si="4"/>
        <v>0</v>
      </c>
      <c r="P141" s="63"/>
      <c r="Q141" s="63"/>
      <c r="R141" s="20"/>
    </row>
    <row r="142" spans="1:38" ht="15.75" customHeight="1">
      <c r="A142" s="24">
        <v>69</v>
      </c>
      <c r="B142" s="23" t="s">
        <v>102</v>
      </c>
      <c r="C142" s="24" t="s">
        <v>18</v>
      </c>
      <c r="D142" s="23"/>
      <c r="E142" s="23" t="s">
        <v>19</v>
      </c>
      <c r="F142" s="60" t="s">
        <v>120</v>
      </c>
      <c r="G142" s="23" t="s">
        <v>142</v>
      </c>
      <c r="H142" s="25">
        <v>0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</row>
    <row r="143" spans="1:38" ht="15" customHeight="1">
      <c r="A143" s="24">
        <v>70</v>
      </c>
      <c r="B143" s="23" t="s">
        <v>103</v>
      </c>
      <c r="C143" s="24" t="s">
        <v>18</v>
      </c>
      <c r="D143" s="23"/>
      <c r="E143" s="23" t="s">
        <v>19</v>
      </c>
      <c r="F143" s="60" t="s">
        <v>120</v>
      </c>
      <c r="G143" s="23" t="s">
        <v>142</v>
      </c>
      <c r="H143" s="25">
        <v>0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/>
      <c r="B144" s="23" t="s">
        <v>103</v>
      </c>
      <c r="C144" s="24" t="s">
        <v>18</v>
      </c>
      <c r="D144" s="23"/>
      <c r="E144" s="23" t="s">
        <v>19</v>
      </c>
      <c r="F144" s="23" t="s">
        <v>298</v>
      </c>
      <c r="G144" s="23" t="s">
        <v>122</v>
      </c>
      <c r="H144" s="25">
        <v>3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20"/>
    </row>
    <row r="145" spans="1:38" ht="24.75" customHeight="1">
      <c r="A145" s="29">
        <v>71</v>
      </c>
      <c r="B145" s="30" t="s">
        <v>105</v>
      </c>
      <c r="C145" s="29" t="s">
        <v>30</v>
      </c>
      <c r="D145" s="30" t="s">
        <v>106</v>
      </c>
      <c r="E145" s="30" t="s">
        <v>19</v>
      </c>
      <c r="F145" s="30" t="s">
        <v>123</v>
      </c>
      <c r="G145" s="30" t="s">
        <v>142</v>
      </c>
      <c r="H145" s="25">
        <v>2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0</v>
      </c>
      <c r="P145" s="27"/>
      <c r="Q145" s="27"/>
      <c r="R145" s="20"/>
    </row>
    <row r="146" spans="1:38" s="7" customFormat="1" ht="38.450000000000003" customHeight="1">
      <c r="A146" s="29">
        <v>72</v>
      </c>
      <c r="B146" s="30" t="s">
        <v>265</v>
      </c>
      <c r="C146" s="29" t="s">
        <v>18</v>
      </c>
      <c r="D146" s="30"/>
      <c r="E146" s="30" t="s">
        <v>19</v>
      </c>
      <c r="F146" s="30" t="s">
        <v>123</v>
      </c>
      <c r="G146" s="30" t="s">
        <v>142</v>
      </c>
      <c r="H146" s="25">
        <v>0</v>
      </c>
      <c r="I146" s="1"/>
      <c r="J146" s="26"/>
      <c r="K146" s="27">
        <f t="shared" ref="K146:K167" si="5">L146+M146</f>
        <v>0</v>
      </c>
      <c r="L146" s="27"/>
      <c r="M146" s="27"/>
      <c r="N146" s="1"/>
      <c r="O146" s="27">
        <f t="shared" si="4"/>
        <v>0</v>
      </c>
      <c r="P146" s="27"/>
      <c r="Q146" s="27"/>
      <c r="R146" s="20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</row>
    <row r="147" spans="1:38" s="7" customFormat="1" ht="38.450000000000003" customHeight="1">
      <c r="A147" s="24">
        <v>73</v>
      </c>
      <c r="B147" s="23" t="s">
        <v>107</v>
      </c>
      <c r="C147" s="24" t="s">
        <v>18</v>
      </c>
      <c r="D147" s="23"/>
      <c r="E147" s="23" t="s">
        <v>36</v>
      </c>
      <c r="F147" s="30" t="s">
        <v>123</v>
      </c>
      <c r="G147" s="23" t="s">
        <v>142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</row>
    <row r="148" spans="1:38" ht="15.75" customHeight="1">
      <c r="A148" s="24"/>
      <c r="B148" s="23" t="s">
        <v>107</v>
      </c>
      <c r="C148" s="24" t="s">
        <v>18</v>
      </c>
      <c r="D148" s="23"/>
      <c r="E148" s="23" t="s">
        <v>36</v>
      </c>
      <c r="F148" s="23" t="s">
        <v>295</v>
      </c>
      <c r="G148" s="23" t="s">
        <v>136</v>
      </c>
      <c r="H148" s="25">
        <v>3</v>
      </c>
      <c r="I148" s="2"/>
      <c r="J148" s="26"/>
      <c r="K148" s="27">
        <f t="shared" si="5"/>
        <v>0</v>
      </c>
      <c r="L148" s="27"/>
      <c r="M148" s="27"/>
      <c r="N148" s="2"/>
      <c r="O148" s="27">
        <f t="shared" si="4"/>
        <v>0</v>
      </c>
      <c r="P148" s="27"/>
      <c r="Q148" s="27"/>
      <c r="R148" s="20"/>
    </row>
    <row r="149" spans="1:38" ht="16.5" customHeight="1">
      <c r="A149" s="24">
        <v>74</v>
      </c>
      <c r="B149" s="23" t="s">
        <v>108</v>
      </c>
      <c r="C149" s="24" t="s">
        <v>18</v>
      </c>
      <c r="D149" s="23"/>
      <c r="E149" s="23" t="s">
        <v>19</v>
      </c>
      <c r="F149" s="23" t="s">
        <v>292</v>
      </c>
      <c r="G149" s="23" t="s">
        <v>142</v>
      </c>
      <c r="H149" s="25">
        <v>1</v>
      </c>
      <c r="I149" s="1"/>
      <c r="J149" s="26"/>
      <c r="K149" s="27">
        <f t="shared" si="5"/>
        <v>0</v>
      </c>
      <c r="L149" s="27"/>
      <c r="M149" s="27"/>
      <c r="N149" s="1">
        <v>3</v>
      </c>
      <c r="O149" s="27">
        <f t="shared" si="4"/>
        <v>0</v>
      </c>
      <c r="P149" s="27"/>
      <c r="Q149" s="27"/>
      <c r="R149" s="20"/>
    </row>
    <row r="150" spans="1:38" s="7" customFormat="1" ht="16.5" customHeight="1">
      <c r="A150" s="24"/>
      <c r="B150" s="23" t="s">
        <v>108</v>
      </c>
      <c r="C150" s="24" t="s">
        <v>18</v>
      </c>
      <c r="D150" s="23"/>
      <c r="E150" s="23" t="s">
        <v>19</v>
      </c>
      <c r="F150" s="23" t="s">
        <v>0</v>
      </c>
      <c r="G150" s="23" t="s">
        <v>122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/>
      <c r="O150" s="27"/>
      <c r="P150" s="27"/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s="7" customFormat="1" ht="16.5" customHeight="1">
      <c r="A151" s="24">
        <v>75</v>
      </c>
      <c r="B151" s="23" t="s">
        <v>146</v>
      </c>
      <c r="C151" s="24" t="s">
        <v>18</v>
      </c>
      <c r="D151" s="23"/>
      <c r="E151" s="23" t="s">
        <v>104</v>
      </c>
      <c r="F151" s="23" t="s">
        <v>291</v>
      </c>
      <c r="G151" s="23" t="s">
        <v>142</v>
      </c>
      <c r="H151" s="25">
        <v>0</v>
      </c>
      <c r="I151" s="1"/>
      <c r="J151" s="26"/>
      <c r="K151" s="27">
        <f t="shared" si="5"/>
        <v>0</v>
      </c>
      <c r="L151" s="27"/>
      <c r="M151" s="27"/>
      <c r="N151" s="1"/>
      <c r="O151" s="27">
        <f t="shared" si="4"/>
        <v>0</v>
      </c>
      <c r="P151" s="27"/>
      <c r="Q151" s="27"/>
      <c r="R151" s="20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</row>
    <row r="152" spans="1:38" ht="23.45" customHeight="1">
      <c r="A152" s="29">
        <v>76</v>
      </c>
      <c r="B152" s="30" t="s">
        <v>109</v>
      </c>
      <c r="C152" s="29" t="s">
        <v>52</v>
      </c>
      <c r="D152" s="30" t="s">
        <v>110</v>
      </c>
      <c r="E152" s="30" t="s">
        <v>19</v>
      </c>
      <c r="F152" s="30" t="s">
        <v>123</v>
      </c>
      <c r="G152" s="30" t="s">
        <v>142</v>
      </c>
      <c r="H152" s="25">
        <v>5</v>
      </c>
      <c r="I152" s="1"/>
      <c r="J152" s="26"/>
      <c r="K152" s="27">
        <f t="shared" si="5"/>
        <v>0</v>
      </c>
      <c r="L152" s="27"/>
      <c r="M152" s="27"/>
      <c r="N152" s="1">
        <v>4</v>
      </c>
      <c r="O152" s="27">
        <f t="shared" si="4"/>
        <v>0</v>
      </c>
      <c r="P152" s="27"/>
      <c r="Q152" s="27"/>
      <c r="R152" s="20"/>
    </row>
    <row r="153" spans="1:38" s="7" customFormat="1" ht="27" customHeight="1">
      <c r="A153" s="29"/>
      <c r="B153" s="30" t="s">
        <v>109</v>
      </c>
      <c r="C153" s="29" t="s">
        <v>52</v>
      </c>
      <c r="D153" s="30" t="s">
        <v>110</v>
      </c>
      <c r="E153" s="30" t="s">
        <v>19</v>
      </c>
      <c r="F153" s="30" t="s">
        <v>292</v>
      </c>
      <c r="G153" s="30" t="s">
        <v>122</v>
      </c>
      <c r="H153" s="25">
        <v>0</v>
      </c>
      <c r="I153" s="1"/>
      <c r="J153" s="26"/>
      <c r="K153" s="27">
        <f t="shared" si="5"/>
        <v>0</v>
      </c>
      <c r="L153" s="27"/>
      <c r="M153" s="27"/>
      <c r="N153" s="1">
        <v>2</v>
      </c>
      <c r="O153" s="27">
        <f t="shared" si="4"/>
        <v>0</v>
      </c>
      <c r="P153" s="27"/>
      <c r="Q153" s="27"/>
      <c r="R153" s="20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 spans="1:38" ht="27.75" customHeight="1">
      <c r="A154" s="24">
        <v>77</v>
      </c>
      <c r="B154" s="23" t="s">
        <v>111</v>
      </c>
      <c r="C154" s="24" t="s">
        <v>18</v>
      </c>
      <c r="D154" s="23"/>
      <c r="E154" s="23" t="s">
        <v>112</v>
      </c>
      <c r="F154" s="23" t="s">
        <v>268</v>
      </c>
      <c r="G154" s="23" t="s">
        <v>142</v>
      </c>
      <c r="H154" s="25">
        <v>1</v>
      </c>
      <c r="I154" s="1"/>
      <c r="J154" s="26"/>
      <c r="K154" s="27">
        <f t="shared" si="5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6.5" customHeight="1">
      <c r="A155" s="24"/>
      <c r="B155" s="23" t="s">
        <v>111</v>
      </c>
      <c r="C155" s="24" t="s">
        <v>18</v>
      </c>
      <c r="D155" s="23"/>
      <c r="E155" s="23" t="s">
        <v>112</v>
      </c>
      <c r="F155" s="23" t="s">
        <v>123</v>
      </c>
      <c r="G155" s="23" t="s">
        <v>136</v>
      </c>
      <c r="H155" s="25">
        <v>2</v>
      </c>
      <c r="I155" s="2"/>
      <c r="J155" s="26"/>
      <c r="K155" s="27">
        <f t="shared" si="5"/>
        <v>0</v>
      </c>
      <c r="L155" s="27"/>
      <c r="M155" s="27"/>
      <c r="N155" s="2"/>
      <c r="O155" s="27">
        <f t="shared" si="4"/>
        <v>0</v>
      </c>
      <c r="P155" s="27"/>
      <c r="Q155" s="27"/>
      <c r="R155" s="20"/>
    </row>
    <row r="156" spans="1:38" ht="16.5" customHeight="1">
      <c r="A156" s="24">
        <v>78</v>
      </c>
      <c r="B156" s="23" t="s">
        <v>113</v>
      </c>
      <c r="C156" s="24" t="s">
        <v>18</v>
      </c>
      <c r="D156" s="23"/>
      <c r="E156" s="23" t="s">
        <v>19</v>
      </c>
      <c r="F156" s="23" t="s">
        <v>120</v>
      </c>
      <c r="G156" s="23" t="s">
        <v>142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8.75" customHeight="1">
      <c r="A157" s="24"/>
      <c r="B157" s="23" t="s">
        <v>113</v>
      </c>
      <c r="C157" s="24" t="s">
        <v>18</v>
      </c>
      <c r="D157" s="23"/>
      <c r="E157" s="23" t="s">
        <v>19</v>
      </c>
      <c r="F157" s="23" t="s">
        <v>292</v>
      </c>
      <c r="G157" s="23" t="s">
        <v>122</v>
      </c>
      <c r="H157" s="25">
        <v>1</v>
      </c>
      <c r="I157" s="1"/>
      <c r="J157" s="26"/>
      <c r="K157" s="27">
        <f t="shared" si="5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ht="12.6" customHeight="1">
      <c r="A158" s="24">
        <v>79</v>
      </c>
      <c r="B158" s="23" t="s">
        <v>114</v>
      </c>
      <c r="C158" s="24" t="s">
        <v>18</v>
      </c>
      <c r="D158" s="23"/>
      <c r="E158" s="23" t="s">
        <v>41</v>
      </c>
      <c r="F158" s="23" t="s">
        <v>268</v>
      </c>
      <c r="G158" s="23" t="s">
        <v>142</v>
      </c>
      <c r="H158" s="25">
        <v>0</v>
      </c>
      <c r="I158" s="1"/>
      <c r="J158" s="26"/>
      <c r="K158" s="27">
        <f t="shared" si="5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</row>
    <row r="159" spans="1:38" ht="16.899999999999999" customHeight="1">
      <c r="A159" s="24"/>
      <c r="B159" s="23" t="s">
        <v>141</v>
      </c>
      <c r="C159" s="24" t="s">
        <v>18</v>
      </c>
      <c r="D159" s="23"/>
      <c r="E159" s="23" t="s">
        <v>41</v>
      </c>
      <c r="F159" s="23" t="s">
        <v>295</v>
      </c>
      <c r="G159" s="23" t="s">
        <v>136</v>
      </c>
      <c r="H159" s="25">
        <v>2</v>
      </c>
      <c r="I159" s="2"/>
      <c r="J159" s="26"/>
      <c r="K159" s="27">
        <f t="shared" si="5"/>
        <v>0</v>
      </c>
      <c r="L159" s="27"/>
      <c r="M159" s="27"/>
      <c r="N159" s="2"/>
      <c r="O159" s="27">
        <f t="shared" si="4"/>
        <v>0</v>
      </c>
      <c r="P159" s="27"/>
      <c r="Q159" s="27"/>
      <c r="R159" s="20"/>
    </row>
    <row r="160" spans="1:38" ht="24.6" customHeight="1">
      <c r="A160" s="29">
        <v>80</v>
      </c>
      <c r="B160" s="30" t="s">
        <v>115</v>
      </c>
      <c r="C160" s="29" t="s">
        <v>52</v>
      </c>
      <c r="D160" s="30" t="s">
        <v>110</v>
      </c>
      <c r="E160" s="30" t="s">
        <v>19</v>
      </c>
      <c r="F160" s="30"/>
      <c r="G160" s="30" t="s">
        <v>142</v>
      </c>
      <c r="H160" s="25">
        <v>0</v>
      </c>
      <c r="I160" s="1"/>
      <c r="J160" s="26"/>
      <c r="K160" s="27">
        <f t="shared" si="5"/>
        <v>0</v>
      </c>
      <c r="L160" s="27"/>
      <c r="M160" s="27"/>
      <c r="N160" s="1"/>
      <c r="O160" s="27">
        <f t="shared" ref="O160:O164" si="6">P160+Q160</f>
        <v>0</v>
      </c>
      <c r="P160" s="27"/>
      <c r="Q160" s="27"/>
      <c r="R160" s="20"/>
    </row>
    <row r="161" spans="1:38" ht="32.25" customHeight="1">
      <c r="A161" s="29"/>
      <c r="B161" s="30" t="s">
        <v>115</v>
      </c>
      <c r="C161" s="29" t="s">
        <v>52</v>
      </c>
      <c r="D161" s="30" t="s">
        <v>110</v>
      </c>
      <c r="E161" s="30" t="s">
        <v>19</v>
      </c>
      <c r="F161" s="30" t="s">
        <v>292</v>
      </c>
      <c r="G161" s="30" t="s">
        <v>122</v>
      </c>
      <c r="H161" s="25">
        <v>0</v>
      </c>
      <c r="I161" s="1"/>
      <c r="J161" s="44"/>
      <c r="K161" s="27">
        <f t="shared" si="5"/>
        <v>0</v>
      </c>
      <c r="L161" s="27"/>
      <c r="M161" s="27"/>
      <c r="N161" s="1"/>
      <c r="O161" s="27">
        <f t="shared" si="6"/>
        <v>0</v>
      </c>
      <c r="P161" s="27"/>
      <c r="Q161" s="27"/>
      <c r="R161" s="20"/>
    </row>
    <row r="162" spans="1:38" ht="34.9" customHeight="1">
      <c r="A162" s="29">
        <v>81</v>
      </c>
      <c r="B162" s="30" t="s">
        <v>116</v>
      </c>
      <c r="C162" s="29" t="s">
        <v>52</v>
      </c>
      <c r="D162" s="30" t="s">
        <v>117</v>
      </c>
      <c r="E162" s="30" t="s">
        <v>19</v>
      </c>
      <c r="F162" s="30" t="s">
        <v>299</v>
      </c>
      <c r="G162" s="30" t="s">
        <v>142</v>
      </c>
      <c r="H162" s="25">
        <v>0</v>
      </c>
      <c r="I162" s="1"/>
      <c r="J162" s="44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38" ht="28.5" customHeight="1">
      <c r="A163" s="29">
        <v>82</v>
      </c>
      <c r="B163" s="30" t="s">
        <v>209</v>
      </c>
      <c r="C163" s="29" t="s">
        <v>18</v>
      </c>
      <c r="D163" s="30"/>
      <c r="E163" s="30" t="s">
        <v>19</v>
      </c>
      <c r="F163" s="30" t="s">
        <v>123</v>
      </c>
      <c r="G163" s="30" t="s">
        <v>142</v>
      </c>
      <c r="H163" s="25">
        <v>0</v>
      </c>
      <c r="I163" s="1"/>
      <c r="J163" s="44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38" ht="19.5" customHeight="1">
      <c r="A164" s="29">
        <v>83</v>
      </c>
      <c r="B164" s="30" t="s">
        <v>118</v>
      </c>
      <c r="C164" s="29" t="s">
        <v>18</v>
      </c>
      <c r="D164" s="30"/>
      <c r="E164" s="30" t="s">
        <v>41</v>
      </c>
      <c r="F164" s="30" t="s">
        <v>292</v>
      </c>
      <c r="G164" s="30" t="s">
        <v>142</v>
      </c>
      <c r="H164" s="25">
        <v>1</v>
      </c>
      <c r="I164" s="1"/>
      <c r="J164" s="44"/>
      <c r="K164" s="27">
        <f t="shared" si="5"/>
        <v>0</v>
      </c>
      <c r="L164" s="27"/>
      <c r="M164" s="27"/>
      <c r="N164" s="1">
        <v>10</v>
      </c>
      <c r="O164" s="27">
        <f t="shared" si="6"/>
        <v>0</v>
      </c>
      <c r="P164" s="27"/>
      <c r="Q164" s="27"/>
      <c r="R164" s="20"/>
    </row>
    <row r="165" spans="1:38" s="7" customFormat="1" ht="30.6" customHeight="1">
      <c r="A165" s="24"/>
      <c r="B165" s="23" t="s">
        <v>118</v>
      </c>
      <c r="C165" s="24" t="s">
        <v>18</v>
      </c>
      <c r="D165" s="23"/>
      <c r="E165" s="23" t="s">
        <v>41</v>
      </c>
      <c r="F165" s="23" t="s">
        <v>298</v>
      </c>
      <c r="G165" s="23" t="s">
        <v>124</v>
      </c>
      <c r="H165" s="25">
        <v>0</v>
      </c>
      <c r="I165" s="1"/>
      <c r="J165" s="44"/>
      <c r="K165" s="27">
        <f t="shared" si="5"/>
        <v>0</v>
      </c>
      <c r="L165" s="27"/>
      <c r="M165" s="27"/>
      <c r="N165" s="1"/>
      <c r="O165" s="27">
        <f>P165+Q165</f>
        <v>0</v>
      </c>
      <c r="P165" s="27"/>
      <c r="Q165" s="27"/>
      <c r="R165" s="20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</row>
    <row r="166" spans="1:38" ht="27" customHeight="1">
      <c r="A166" s="24"/>
      <c r="B166" s="23" t="s">
        <v>118</v>
      </c>
      <c r="C166" s="24" t="s">
        <v>18</v>
      </c>
      <c r="D166" s="23"/>
      <c r="E166" s="23" t="s">
        <v>41</v>
      </c>
      <c r="F166" s="23" t="s">
        <v>123</v>
      </c>
      <c r="G166" s="23" t="s">
        <v>136</v>
      </c>
      <c r="H166" s="25">
        <v>0</v>
      </c>
      <c r="I166" s="2"/>
      <c r="J166" s="26"/>
      <c r="K166" s="27">
        <f t="shared" si="5"/>
        <v>0</v>
      </c>
      <c r="L166" s="27"/>
      <c r="M166" s="27"/>
      <c r="N166" s="2"/>
      <c r="O166" s="27">
        <f>P166+Q166</f>
        <v>0</v>
      </c>
      <c r="P166" s="27"/>
      <c r="Q166" s="27"/>
      <c r="R166" s="20"/>
    </row>
    <row r="167" spans="1:38" ht="18.75" customHeight="1" thickBot="1">
      <c r="A167" s="47">
        <v>83</v>
      </c>
      <c r="B167" s="99" t="s">
        <v>119</v>
      </c>
      <c r="C167" s="47" t="s">
        <v>18</v>
      </c>
      <c r="D167" s="99"/>
      <c r="E167" s="99" t="s">
        <v>19</v>
      </c>
      <c r="F167" s="99" t="s">
        <v>120</v>
      </c>
      <c r="G167" s="99" t="s">
        <v>122</v>
      </c>
      <c r="H167" s="100">
        <v>0</v>
      </c>
      <c r="I167" s="16"/>
      <c r="J167" s="101"/>
      <c r="K167" s="27">
        <f t="shared" si="5"/>
        <v>0</v>
      </c>
      <c r="L167" s="102"/>
      <c r="M167" s="102"/>
      <c r="N167" s="16"/>
      <c r="O167" s="102">
        <f>P167+Q167</f>
        <v>0</v>
      </c>
      <c r="P167" s="102"/>
      <c r="Q167" s="102"/>
      <c r="R167" s="20"/>
    </row>
    <row r="168" spans="1:38" ht="16.5" customHeight="1">
      <c r="A168" s="87" t="s">
        <v>145</v>
      </c>
      <c r="B168" s="87"/>
      <c r="C168" s="88"/>
      <c r="D168" s="89"/>
      <c r="E168" s="89"/>
      <c r="F168" s="89"/>
      <c r="G168" s="89"/>
      <c r="H168" s="88">
        <f t="shared" ref="H168:Q168" si="7">SUM(H10:H167)</f>
        <v>97</v>
      </c>
      <c r="I168" s="88">
        <f t="shared" si="7"/>
        <v>8</v>
      </c>
      <c r="J168" s="88">
        <f t="shared" si="7"/>
        <v>8</v>
      </c>
      <c r="K168" s="90">
        <f t="shared" si="7"/>
        <v>0</v>
      </c>
      <c r="L168" s="90">
        <f t="shared" si="7"/>
        <v>0</v>
      </c>
      <c r="M168" s="88">
        <f t="shared" si="7"/>
        <v>0</v>
      </c>
      <c r="N168" s="88">
        <f t="shared" si="7"/>
        <v>103</v>
      </c>
      <c r="O168" s="88">
        <f t="shared" si="7"/>
        <v>0</v>
      </c>
      <c r="P168" s="88">
        <f t="shared" si="7"/>
        <v>0</v>
      </c>
      <c r="Q168" s="88">
        <f t="shared" si="7"/>
        <v>0</v>
      </c>
      <c r="R168" s="20"/>
    </row>
    <row r="169" spans="1:38" ht="15" customHeight="1">
      <c r="A169" s="5"/>
      <c r="B169" s="6"/>
      <c r="C169" s="5"/>
      <c r="D169" s="6"/>
      <c r="E169" s="6"/>
      <c r="F169" s="6"/>
      <c r="G169" s="6"/>
      <c r="H169" s="9"/>
      <c r="I169" s="9"/>
      <c r="J169" s="9"/>
      <c r="K169" s="9"/>
      <c r="L169" s="9"/>
      <c r="M169" s="11"/>
      <c r="N169" s="9"/>
      <c r="O169" s="9"/>
      <c r="P169" s="5"/>
      <c r="Q169" s="13"/>
      <c r="R169" s="20"/>
    </row>
    <row r="170" spans="1:38">
      <c r="R170" s="20"/>
    </row>
    <row r="171" spans="1:38">
      <c r="K171" s="15"/>
      <c r="L171" s="15"/>
      <c r="M171" s="19"/>
    </row>
    <row r="172" spans="1:38">
      <c r="K172" s="15"/>
      <c r="L172" s="15"/>
      <c r="N172" s="15"/>
      <c r="O172" s="15"/>
    </row>
    <row r="173" spans="1:38">
      <c r="K173" s="15"/>
      <c r="L173" s="15"/>
      <c r="N173" s="15"/>
    </row>
    <row r="174" spans="1:38">
      <c r="K174" s="15"/>
      <c r="L174" s="15"/>
    </row>
    <row r="175" spans="1:38">
      <c r="K175" s="15"/>
      <c r="L175" s="15"/>
    </row>
    <row r="176" spans="1:38">
      <c r="L176" s="15"/>
    </row>
    <row r="183" spans="12:12">
      <c r="L183" s="15"/>
    </row>
  </sheetData>
  <mergeCells count="8">
    <mergeCell ref="A168:B16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U219"/>
  <sheetViews>
    <sheetView topLeftCell="A200" zoomScale="66" zoomScaleNormal="66" workbookViewId="0">
      <selection activeCell="A207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14</v>
      </c>
      <c r="I11" s="1">
        <v>6</v>
      </c>
      <c r="J11" s="26">
        <v>6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7048</v>
      </c>
      <c r="P11" s="27">
        <v>7048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11</v>
      </c>
      <c r="I12" s="1">
        <v>1</v>
      </c>
      <c r="J12" s="26">
        <v>2</v>
      </c>
      <c r="K12" s="27">
        <f t="shared" si="2"/>
        <v>0</v>
      </c>
      <c r="L12" s="27"/>
      <c r="M12" s="27"/>
      <c r="N12" s="1">
        <v>6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9</v>
      </c>
      <c r="I14" s="1">
        <v>5</v>
      </c>
      <c r="J14" s="26">
        <v>9</v>
      </c>
      <c r="K14" s="27">
        <f t="shared" si="2"/>
        <v>0</v>
      </c>
      <c r="L14" s="27"/>
      <c r="M14" s="27"/>
      <c r="N14" s="1">
        <v>14</v>
      </c>
      <c r="O14" s="27">
        <f t="shared" si="1"/>
        <v>13242.79</v>
      </c>
      <c r="P14" s="27">
        <f>6380.54+898.62+5963.63</f>
        <v>13242.79</v>
      </c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15</v>
      </c>
      <c r="I15" s="2">
        <v>11</v>
      </c>
      <c r="J15" s="26">
        <v>11</v>
      </c>
      <c r="K15" s="27">
        <f t="shared" si="2"/>
        <v>0</v>
      </c>
      <c r="L15" s="27"/>
      <c r="M15" s="27"/>
      <c r="N15" s="2">
        <v>11</v>
      </c>
      <c r="O15" s="27">
        <f t="shared" si="1"/>
        <v>9127.2999999999993</v>
      </c>
      <c r="P15" s="27">
        <v>9127.2999999999993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28</v>
      </c>
      <c r="I16" s="1">
        <v>22</v>
      </c>
      <c r="J16" s="26">
        <v>24</v>
      </c>
      <c r="K16" s="27">
        <f t="shared" si="2"/>
        <v>0</v>
      </c>
      <c r="L16" s="27"/>
      <c r="M16" s="27"/>
      <c r="N16" s="1">
        <v>21</v>
      </c>
      <c r="O16" s="27">
        <f t="shared" si="1"/>
        <v>28576.01</v>
      </c>
      <c r="P16" s="27">
        <f>9373.48+1765.32+2881.47+14555.74</f>
        <v>28576.01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25</v>
      </c>
      <c r="I20" s="1">
        <v>16</v>
      </c>
      <c r="J20" s="26">
        <v>17</v>
      </c>
      <c r="K20" s="27">
        <f t="shared" si="2"/>
        <v>0</v>
      </c>
      <c r="L20" s="27"/>
      <c r="M20" s="27"/>
      <c r="N20" s="1">
        <v>19</v>
      </c>
      <c r="O20" s="27">
        <f t="shared" si="1"/>
        <v>16199.25</v>
      </c>
      <c r="P20" s="27">
        <f>4072.37+2831.63+9295.25</f>
        <v>16199.25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1850.1</v>
      </c>
      <c r="P21" s="27">
        <v>1850.1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2629.92</v>
      </c>
      <c r="Q22" s="27">
        <v>894.07999999999993</v>
      </c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6214.5599999999995</v>
      </c>
      <c r="P23" s="27">
        <f>488.18+2791.37+2935.01</f>
        <v>6214.5599999999995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5</v>
      </c>
      <c r="J26" s="44">
        <v>5</v>
      </c>
      <c r="K26" s="27">
        <f t="shared" si="2"/>
        <v>0</v>
      </c>
      <c r="L26" s="27"/>
      <c r="M26" s="27"/>
      <c r="N26" s="1">
        <v>1</v>
      </c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3</v>
      </c>
      <c r="O27" s="27">
        <f t="shared" si="1"/>
        <v>3364.54</v>
      </c>
      <c r="P27" s="27">
        <v>3364.54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1</v>
      </c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16</v>
      </c>
      <c r="I29" s="1">
        <v>5</v>
      </c>
      <c r="J29" s="26">
        <v>5</v>
      </c>
      <c r="K29" s="27">
        <f t="shared" si="2"/>
        <v>0</v>
      </c>
      <c r="L29" s="27"/>
      <c r="M29" s="27"/>
      <c r="N29" s="1">
        <v>5</v>
      </c>
      <c r="O29" s="27">
        <f t="shared" si="1"/>
        <v>11735.84</v>
      </c>
      <c r="P29" s="27">
        <f>1585.49+7579.12+718.9+1852.33</f>
        <v>11735.84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3</v>
      </c>
      <c r="J31" s="26">
        <v>3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14</v>
      </c>
      <c r="I32" s="1">
        <v>8</v>
      </c>
      <c r="J32" s="26">
        <v>9</v>
      </c>
      <c r="K32" s="27">
        <f t="shared" si="2"/>
        <v>0</v>
      </c>
      <c r="L32" s="27"/>
      <c r="M32" s="27"/>
      <c r="N32" s="1">
        <v>10</v>
      </c>
      <c r="O32" s="27">
        <f t="shared" si="1"/>
        <v>26399.21</v>
      </c>
      <c r="P32" s="27">
        <f>8353.67+11335.86+6709.68</f>
        <v>26399.21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4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881</v>
      </c>
      <c r="Q33" s="27">
        <v>2114.4</v>
      </c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9</v>
      </c>
      <c r="I35" s="1"/>
      <c r="J35" s="26"/>
      <c r="K35" s="27">
        <f t="shared" si="2"/>
        <v>0</v>
      </c>
      <c r="L35" s="27"/>
      <c r="M35" s="27"/>
      <c r="N35" s="1">
        <v>5</v>
      </c>
      <c r="O35" s="27">
        <f t="shared" si="1"/>
        <v>1233.4000000000001</v>
      </c>
      <c r="P35" s="27">
        <v>1233.4000000000001</v>
      </c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11</v>
      </c>
      <c r="I36" s="1"/>
      <c r="J36" s="26"/>
      <c r="K36" s="27">
        <f t="shared" si="2"/>
        <v>0</v>
      </c>
      <c r="L36" s="27"/>
      <c r="M36" s="27"/>
      <c r="N36" s="1">
        <v>9</v>
      </c>
      <c r="O36" s="27">
        <f t="shared" si="1"/>
        <v>7284.47</v>
      </c>
      <c r="P36" s="27">
        <f>7284.47</f>
        <v>7284.47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10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5990.8</v>
      </c>
      <c r="P37" s="27">
        <v>5990.8</v>
      </c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12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15812.21</v>
      </c>
      <c r="P38" s="27">
        <f>984.25+2870.5+11957.46</f>
        <v>15812.21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12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1233.4000000000001</v>
      </c>
      <c r="P39" s="27">
        <v>1233.4000000000001</v>
      </c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2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6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17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958.09</v>
      </c>
      <c r="P44" s="27">
        <v>958.09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4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6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4</v>
      </c>
      <c r="I47" s="1"/>
      <c r="J47" s="26"/>
      <c r="K47" s="27">
        <f t="shared" si="2"/>
        <v>0</v>
      </c>
      <c r="L47" s="27"/>
      <c r="M47" s="27"/>
      <c r="N47" s="1">
        <v>6</v>
      </c>
      <c r="O47" s="27">
        <f t="shared" si="1"/>
        <v>3105.53</v>
      </c>
      <c r="P47" s="27">
        <v>3105.53</v>
      </c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11</v>
      </c>
      <c r="I48" s="1">
        <v>10</v>
      </c>
      <c r="J48" s="26">
        <v>10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5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13</v>
      </c>
      <c r="I50" s="1">
        <v>11</v>
      </c>
      <c r="J50" s="26">
        <v>11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7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15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2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8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7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12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18</v>
      </c>
      <c r="I59" s="82">
        <v>9</v>
      </c>
      <c r="J59" s="26">
        <v>9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24</v>
      </c>
      <c r="I60" s="1">
        <v>9</v>
      </c>
      <c r="J60" s="26">
        <v>9</v>
      </c>
      <c r="K60" s="27">
        <f t="shared" si="2"/>
        <v>0</v>
      </c>
      <c r="L60" s="27"/>
      <c r="M60" s="27"/>
      <c r="N60" s="1">
        <v>16</v>
      </c>
      <c r="O60" s="27">
        <f t="shared" si="1"/>
        <v>9133</v>
      </c>
      <c r="P60" s="27">
        <f>2817.33+2170.4+4145.27</f>
        <v>9133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9</v>
      </c>
      <c r="J61" s="26">
        <v>9</v>
      </c>
      <c r="K61" s="27">
        <f t="shared" si="2"/>
        <v>0</v>
      </c>
      <c r="L61" s="27"/>
      <c r="M61" s="27"/>
      <c r="N61" s="1">
        <v>10</v>
      </c>
      <c r="O61" s="27">
        <f t="shared" si="1"/>
        <v>10401.32</v>
      </c>
      <c r="P61" s="27">
        <v>10401.32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2</v>
      </c>
      <c r="J62" s="26">
        <v>2</v>
      </c>
      <c r="K62" s="27">
        <f t="shared" si="2"/>
        <v>0</v>
      </c>
      <c r="L62" s="27"/>
      <c r="M62" s="27"/>
      <c r="N62" s="1">
        <v>6</v>
      </c>
      <c r="O62" s="27">
        <f t="shared" si="1"/>
        <v>2995.4</v>
      </c>
      <c r="P62" s="27">
        <v>2995.4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8</v>
      </c>
      <c r="J63" s="26">
        <v>8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2</v>
      </c>
      <c r="J64" s="26">
        <v>2</v>
      </c>
      <c r="K64" s="27">
        <f t="shared" si="2"/>
        <v>0</v>
      </c>
      <c r="L64" s="27"/>
      <c r="M64" s="27"/>
      <c r="N64" s="1">
        <v>8</v>
      </c>
      <c r="O64" s="27">
        <f t="shared" si="1"/>
        <v>6537.02</v>
      </c>
      <c r="P64" s="27">
        <v>6537.02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12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2114.4</v>
      </c>
      <c r="P67" s="27">
        <v>2114.4</v>
      </c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10</v>
      </c>
      <c r="I68" s="1">
        <v>2</v>
      </c>
      <c r="J68" s="26">
        <v>2</v>
      </c>
      <c r="K68" s="27">
        <f t="shared" si="2"/>
        <v>0</v>
      </c>
      <c r="L68" s="27"/>
      <c r="M68" s="27"/>
      <c r="N68" s="1">
        <v>3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9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16</v>
      </c>
      <c r="I70" s="2">
        <v>6</v>
      </c>
      <c r="J70" s="26">
        <v>6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23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18</v>
      </c>
      <c r="I73" s="1">
        <v>12</v>
      </c>
      <c r="J73" s="26">
        <v>12</v>
      </c>
      <c r="K73" s="27">
        <f t="shared" si="2"/>
        <v>0</v>
      </c>
      <c r="L73" s="27"/>
      <c r="M73" s="27"/>
      <c r="N73" s="1">
        <v>7</v>
      </c>
      <c r="O73" s="27">
        <f t="shared" si="1"/>
        <v>21507.190000000002</v>
      </c>
      <c r="P73" s="27">
        <f>4688.79+16818.4</f>
        <v>21507.190000000002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7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9024.58</v>
      </c>
      <c r="P75" s="27">
        <v>9024.58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11</v>
      </c>
      <c r="I77" s="1">
        <v>6</v>
      </c>
      <c r="J77" s="26">
        <v>6</v>
      </c>
      <c r="K77" s="27">
        <f t="shared" si="2"/>
        <v>0</v>
      </c>
      <c r="L77" s="27"/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9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4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0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39</v>
      </c>
      <c r="I83" s="1">
        <v>26</v>
      </c>
      <c r="J83" s="26">
        <v>26</v>
      </c>
      <c r="K83" s="27">
        <f t="shared" si="2"/>
        <v>0</v>
      </c>
      <c r="L83" s="27"/>
      <c r="M83" s="27"/>
      <c r="N83" s="1">
        <v>2</v>
      </c>
      <c r="O83" s="27">
        <f t="shared" si="1"/>
        <v>6215.87</v>
      </c>
      <c r="P83" s="27">
        <v>6215.87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477.41</v>
      </c>
      <c r="P84" s="27">
        <v>477.41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24</v>
      </c>
      <c r="I86" s="1">
        <v>19</v>
      </c>
      <c r="J86" s="26">
        <v>20</v>
      </c>
      <c r="K86" s="27">
        <f t="shared" ref="K86:K154" si="3">L86+M86</f>
        <v>0</v>
      </c>
      <c r="L86" s="27"/>
      <c r="M86" s="27"/>
      <c r="N86" s="1">
        <v>11</v>
      </c>
      <c r="O86" s="27">
        <f t="shared" si="1"/>
        <v>12540.810000000001</v>
      </c>
      <c r="P86" s="27">
        <f>1369.13+3431.04+7740.64</f>
        <v>12540.810000000001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7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3</v>
      </c>
      <c r="J92" s="26">
        <v>3</v>
      </c>
      <c r="K92" s="27">
        <f t="shared" si="3"/>
        <v>0</v>
      </c>
      <c r="L92" s="27"/>
      <c r="M92" s="27"/>
      <c r="N92" s="2">
        <v>17</v>
      </c>
      <c r="O92" s="27">
        <f t="shared" si="1"/>
        <v>0</v>
      </c>
      <c r="P92" s="27"/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19</v>
      </c>
      <c r="I101" s="1">
        <v>10</v>
      </c>
      <c r="J101" s="26">
        <v>10</v>
      </c>
      <c r="K101" s="27">
        <f t="shared" si="3"/>
        <v>0</v>
      </c>
      <c r="L101" s="27"/>
      <c r="M101" s="27"/>
      <c r="N101" s="1">
        <v>9</v>
      </c>
      <c r="O101" s="27">
        <f t="shared" si="4"/>
        <v>12594.32</v>
      </c>
      <c r="P101" s="27">
        <f>8926.48+3667.84</f>
        <v>12594.32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8</v>
      </c>
      <c r="I102" s="1">
        <v>4</v>
      </c>
      <c r="J102" s="26">
        <v>4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10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13</v>
      </c>
      <c r="I105" s="1">
        <v>5</v>
      </c>
      <c r="J105" s="26">
        <v>5</v>
      </c>
      <c r="K105" s="27">
        <f t="shared" si="3"/>
        <v>0</v>
      </c>
      <c r="L105" s="27"/>
      <c r="M105" s="27"/>
      <c r="N105" s="1">
        <v>17</v>
      </c>
      <c r="O105" s="27">
        <f>P105+Q105</f>
        <v>25135.54</v>
      </c>
      <c r="P105" s="27">
        <f>7142.66+6007.6+11985.28</f>
        <v>25135.54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11</v>
      </c>
      <c r="I106" s="1">
        <v>2</v>
      </c>
      <c r="J106" s="26">
        <v>2</v>
      </c>
      <c r="K106" s="27">
        <f t="shared" si="3"/>
        <v>0</v>
      </c>
      <c r="L106" s="27"/>
      <c r="M106" s="27"/>
      <c r="N106" s="1">
        <v>8</v>
      </c>
      <c r="O106" s="27">
        <f>P106+Q106</f>
        <v>5726.5</v>
      </c>
      <c r="P106" s="27">
        <v>5726.5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15</v>
      </c>
      <c r="I107" s="2">
        <v>2</v>
      </c>
      <c r="J107" s="26">
        <v>2</v>
      </c>
      <c r="K107" s="27">
        <f t="shared" si="3"/>
        <v>0</v>
      </c>
      <c r="L107" s="27"/>
      <c r="M107" s="27"/>
      <c r="N107" s="2">
        <v>26</v>
      </c>
      <c r="O107" s="27">
        <f>P107+Q107</f>
        <v>39612.51</v>
      </c>
      <c r="P107" s="35">
        <v>39612.51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7</v>
      </c>
      <c r="I109" s="2"/>
      <c r="J109" s="26"/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4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11</v>
      </c>
      <c r="I111" s="2">
        <v>7</v>
      </c>
      <c r="J111" s="26">
        <v>7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11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8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19</v>
      </c>
      <c r="I114" s="1">
        <v>18</v>
      </c>
      <c r="J114" s="26">
        <v>18</v>
      </c>
      <c r="K114" s="27">
        <f t="shared" si="3"/>
        <v>0</v>
      </c>
      <c r="L114" s="27"/>
      <c r="M114" s="27"/>
      <c r="N114" s="1">
        <v>8</v>
      </c>
      <c r="O114" s="27">
        <f t="shared" si="4"/>
        <v>19052.240000000002</v>
      </c>
      <c r="P114" s="27">
        <f>3646.63+15405.61</f>
        <v>19052.240000000002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18</v>
      </c>
      <c r="I118" s="1">
        <v>15</v>
      </c>
      <c r="J118" s="26">
        <v>16</v>
      </c>
      <c r="K118" s="27">
        <f t="shared" si="3"/>
        <v>0</v>
      </c>
      <c r="L118" s="27"/>
      <c r="M118" s="27"/>
      <c r="N118" s="1">
        <v>8</v>
      </c>
      <c r="O118" s="27">
        <f t="shared" si="4"/>
        <v>3333.95</v>
      </c>
      <c r="P118" s="27">
        <v>3333.95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13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11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5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6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5739.96</v>
      </c>
      <c r="P124" s="27">
        <f>2479.17+3260.79</f>
        <v>5739.96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2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18</v>
      </c>
      <c r="I126" s="1">
        <v>15</v>
      </c>
      <c r="J126" s="26">
        <v>15</v>
      </c>
      <c r="K126" s="27">
        <f t="shared" si="3"/>
        <v>0</v>
      </c>
      <c r="L126" s="27"/>
      <c r="M126" s="27"/>
      <c r="N126" s="1">
        <v>9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37</v>
      </c>
      <c r="I128" s="1">
        <v>34</v>
      </c>
      <c r="J128" s="26">
        <v>34</v>
      </c>
      <c r="K128" s="27">
        <f t="shared" si="3"/>
        <v>0</v>
      </c>
      <c r="L128" s="27"/>
      <c r="M128" s="27"/>
      <c r="N128" s="1">
        <v>11</v>
      </c>
      <c r="O128" s="27">
        <f t="shared" si="4"/>
        <v>11436.490000000002</v>
      </c>
      <c r="P128" s="27">
        <f>4741.68+6694.81</f>
        <v>11436.490000000002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8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18</v>
      </c>
      <c r="I130" s="1">
        <v>13</v>
      </c>
      <c r="J130" s="26">
        <v>13</v>
      </c>
      <c r="K130" s="27">
        <f t="shared" si="3"/>
        <v>0</v>
      </c>
      <c r="L130" s="27"/>
      <c r="M130" s="27"/>
      <c r="N130" s="1">
        <v>10</v>
      </c>
      <c r="O130" s="27">
        <f t="shared" si="4"/>
        <v>12289.49</v>
      </c>
      <c r="P130" s="27">
        <f>919.46+2791.44+2825.9+1143.1+4609.59</f>
        <v>12289.49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19</v>
      </c>
      <c r="I132" s="1">
        <v>6</v>
      </c>
      <c r="J132" s="26">
        <v>6</v>
      </c>
      <c r="K132" s="27">
        <f t="shared" si="3"/>
        <v>0</v>
      </c>
      <c r="L132" s="27"/>
      <c r="M132" s="27"/>
      <c r="N132" s="1">
        <v>15</v>
      </c>
      <c r="O132" s="27">
        <f t="shared" si="4"/>
        <v>18168.28</v>
      </c>
      <c r="P132" s="27">
        <f>6606.63+11561.65</f>
        <v>18168.28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4</v>
      </c>
      <c r="J133" s="26">
        <v>4</v>
      </c>
      <c r="K133" s="27">
        <f t="shared" si="3"/>
        <v>0</v>
      </c>
      <c r="L133" s="27"/>
      <c r="M133" s="27"/>
      <c r="N133" s="1">
        <v>8</v>
      </c>
      <c r="O133" s="27">
        <f t="shared" si="4"/>
        <v>3039.46</v>
      </c>
      <c r="P133" s="27">
        <v>3039.46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19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10</v>
      </c>
      <c r="O134" s="27">
        <f t="shared" si="4"/>
        <v>20511.48</v>
      </c>
      <c r="P134" s="27">
        <f>1359.87+2464.36+5364.57+11322.68</f>
        <v>20511.48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2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18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4034.98</v>
      </c>
      <c r="P137" s="27">
        <v>4034.98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11</v>
      </c>
      <c r="I138" s="1">
        <v>6</v>
      </c>
      <c r="J138" s="26">
        <v>6</v>
      </c>
      <c r="K138" s="27">
        <f t="shared" si="3"/>
        <v>0</v>
      </c>
      <c r="L138" s="27"/>
      <c r="M138" s="27"/>
      <c r="N138" s="1">
        <v>9</v>
      </c>
      <c r="O138" s="27">
        <f t="shared" si="4"/>
        <v>4178.6100000000006</v>
      </c>
      <c r="P138" s="27">
        <f>1217+2961.61</f>
        <v>4178.6100000000006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6</v>
      </c>
      <c r="I139" s="1"/>
      <c r="J139" s="26"/>
      <c r="K139" s="27">
        <f t="shared" si="3"/>
        <v>0</v>
      </c>
      <c r="L139" s="27"/>
      <c r="M139" s="27"/>
      <c r="N139" s="1">
        <v>4</v>
      </c>
      <c r="O139" s="27">
        <f t="shared" si="4"/>
        <v>2819.2</v>
      </c>
      <c r="P139" s="36">
        <v>2819.2</v>
      </c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9</v>
      </c>
      <c r="I140" s="1">
        <v>5</v>
      </c>
      <c r="J140" s="26">
        <v>5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6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0</v>
      </c>
      <c r="P141" s="27"/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0</v>
      </c>
      <c r="P142" s="27"/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2431.56</v>
      </c>
      <c r="P143" s="27">
        <f>2431.56</f>
        <v>2431.56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7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8</v>
      </c>
      <c r="I146" s="1">
        <v>4</v>
      </c>
      <c r="J146" s="26">
        <v>5</v>
      </c>
      <c r="K146" s="27">
        <f t="shared" si="3"/>
        <v>0</v>
      </c>
      <c r="L146" s="27"/>
      <c r="M146" s="27"/>
      <c r="N146" s="1">
        <v>2</v>
      </c>
      <c r="O146" s="27">
        <f t="shared" si="4"/>
        <v>0</v>
      </c>
      <c r="P146" s="27"/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16</v>
      </c>
      <c r="I148" s="1"/>
      <c r="J148" s="26"/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28</v>
      </c>
      <c r="I149" s="1">
        <v>16</v>
      </c>
      <c r="J149" s="26">
        <v>22</v>
      </c>
      <c r="K149" s="27">
        <f t="shared" si="3"/>
        <v>0</v>
      </c>
      <c r="L149" s="27"/>
      <c r="M149" s="27"/>
      <c r="N149" s="1">
        <v>8</v>
      </c>
      <c r="O149" s="27">
        <f t="shared" si="4"/>
        <v>10749.36</v>
      </c>
      <c r="P149" s="27">
        <f>5675.37+5073.99</f>
        <v>10749.36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5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1639.99</v>
      </c>
      <c r="P152" s="27">
        <v>1639.99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10</v>
      </c>
      <c r="I154" s="1">
        <v>1</v>
      </c>
      <c r="J154" s="26">
        <v>1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5</v>
      </c>
      <c r="I155" s="1"/>
      <c r="J155" s="26"/>
      <c r="K155" s="27">
        <f t="shared" ref="K155:K203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12</v>
      </c>
      <c r="I157" s="1">
        <v>9</v>
      </c>
      <c r="J157" s="26">
        <v>10</v>
      </c>
      <c r="K157" s="27">
        <f t="shared" si="6"/>
        <v>0</v>
      </c>
      <c r="L157" s="27"/>
      <c r="M157" s="27"/>
      <c r="N157" s="1">
        <v>6</v>
      </c>
      <c r="O157" s="27">
        <f t="shared" si="4"/>
        <v>7470.42</v>
      </c>
      <c r="P157" s="27">
        <f>887.45+1225.31+5357.66</f>
        <v>7470.42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7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12139.02</v>
      </c>
      <c r="P163" s="27">
        <f>1061.97+8854.17+2222.88</f>
        <v>12139.02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1</v>
      </c>
      <c r="I165" s="40"/>
      <c r="J165" s="43"/>
      <c r="K165" s="39">
        <v>0</v>
      </c>
      <c r="L165" s="39"/>
      <c r="M165" s="39"/>
      <c r="N165" s="40"/>
      <c r="O165" s="39"/>
      <c r="P165" s="39"/>
      <c r="Q165" s="39"/>
      <c r="R165" s="31"/>
    </row>
    <row r="166" spans="1:1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12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8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31"/>
    </row>
    <row r="170" spans="1:1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8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18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6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9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31"/>
    </row>
    <row r="174" spans="1:1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5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2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18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18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31"/>
    </row>
    <row r="178" spans="1:1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18</v>
      </c>
      <c r="O178" s="27">
        <f t="shared" si="4"/>
        <v>1233.4000000000001</v>
      </c>
      <c r="P178" s="27">
        <v>1233.4000000000001</v>
      </c>
      <c r="Q178" s="27"/>
      <c r="R178" s="31"/>
    </row>
    <row r="179" spans="1:1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23</v>
      </c>
      <c r="I179" s="1">
        <v>19</v>
      </c>
      <c r="J179" s="26">
        <v>19</v>
      </c>
      <c r="K179" s="27">
        <f t="shared" si="6"/>
        <v>0</v>
      </c>
      <c r="L179" s="27"/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31"/>
    </row>
    <row r="180" spans="1:18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8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31"/>
    </row>
    <row r="181" spans="1:18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2891.29</v>
      </c>
      <c r="P181" s="27">
        <v>2891.29</v>
      </c>
      <c r="Q181" s="27"/>
      <c r="R181" s="31"/>
    </row>
    <row r="182" spans="1:1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31</v>
      </c>
      <c r="I182" s="1">
        <v>23</v>
      </c>
      <c r="J182" s="26">
        <v>23</v>
      </c>
      <c r="K182" s="27">
        <f t="shared" si="6"/>
        <v>0</v>
      </c>
      <c r="L182" s="27"/>
      <c r="M182" s="27"/>
      <c r="N182" s="1">
        <v>17</v>
      </c>
      <c r="O182" s="27">
        <f t="shared" si="4"/>
        <v>46423.69</v>
      </c>
      <c r="P182" s="27">
        <f>8759.8+505.2+4743.98+1370.7+8567.35+22476.66</f>
        <v>46423.69</v>
      </c>
      <c r="Q182" s="27"/>
      <c r="R182" s="31"/>
    </row>
    <row r="183" spans="1:18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18</v>
      </c>
      <c r="I183" s="1">
        <v>1</v>
      </c>
      <c r="J183" s="26">
        <v>1</v>
      </c>
      <c r="K183" s="27">
        <f t="shared" si="6"/>
        <v>0</v>
      </c>
      <c r="L183" s="27"/>
      <c r="M183" s="27"/>
      <c r="N183" s="1">
        <v>14</v>
      </c>
      <c r="O183" s="27">
        <f t="shared" si="4"/>
        <v>13395.22</v>
      </c>
      <c r="P183" s="27">
        <v>13395.22</v>
      </c>
      <c r="Q183" s="27"/>
      <c r="R183" s="31"/>
    </row>
    <row r="184" spans="1:1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31"/>
    </row>
    <row r="185" spans="1:1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31"/>
    </row>
    <row r="186" spans="1:1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31"/>
    </row>
    <row r="187" spans="1:1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16</v>
      </c>
      <c r="I187" s="1">
        <v>3</v>
      </c>
      <c r="J187" s="26">
        <v>3</v>
      </c>
      <c r="K187" s="27">
        <f t="shared" si="6"/>
        <v>0</v>
      </c>
      <c r="L187" s="27"/>
      <c r="M187" s="27"/>
      <c r="N187" s="1">
        <v>14</v>
      </c>
      <c r="O187" s="27">
        <f t="shared" si="4"/>
        <v>19987.7</v>
      </c>
      <c r="P187" s="27">
        <v>19987.7</v>
      </c>
      <c r="Q187" s="27"/>
      <c r="R187" s="31"/>
    </row>
    <row r="188" spans="1:1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5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31"/>
    </row>
    <row r="189" spans="1:1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7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9867.2000000000007</v>
      </c>
      <c r="P189" s="27">
        <v>9867.2000000000007</v>
      </c>
      <c r="Q189" s="27"/>
      <c r="R189" s="31"/>
    </row>
    <row r="190" spans="1:1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17</v>
      </c>
      <c r="I190" s="2">
        <v>13</v>
      </c>
      <c r="J190" s="26">
        <v>13</v>
      </c>
      <c r="K190" s="27"/>
      <c r="L190" s="27"/>
      <c r="M190" s="27"/>
      <c r="N190" s="2"/>
      <c r="O190" s="27"/>
      <c r="P190" s="27"/>
      <c r="Q190" s="27"/>
      <c r="R190" s="31"/>
    </row>
    <row r="191" spans="1:1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6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31"/>
    </row>
    <row r="192" spans="1:1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31"/>
    </row>
    <row r="193" spans="1:21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31"/>
    </row>
    <row r="194" spans="1:21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31"/>
    </row>
    <row r="195" spans="1:21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29</v>
      </c>
      <c r="I195" s="1">
        <v>18</v>
      </c>
      <c r="J195" s="44">
        <v>18</v>
      </c>
      <c r="K195" s="27">
        <f t="shared" si="6"/>
        <v>16538.14</v>
      </c>
      <c r="L195" s="27">
        <v>16538.14</v>
      </c>
      <c r="M195" s="27"/>
      <c r="N195" s="1">
        <v>3</v>
      </c>
      <c r="O195" s="27">
        <f t="shared" si="7"/>
        <v>14077.71</v>
      </c>
      <c r="P195" s="27">
        <v>14077.71</v>
      </c>
      <c r="Q195" s="27"/>
      <c r="R195" s="31"/>
    </row>
    <row r="196" spans="1:21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31"/>
    </row>
    <row r="197" spans="1:21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17</v>
      </c>
      <c r="I197" s="1">
        <v>6</v>
      </c>
      <c r="J197" s="44">
        <v>6</v>
      </c>
      <c r="K197" s="27">
        <f t="shared" si="6"/>
        <v>0</v>
      </c>
      <c r="L197" s="27"/>
      <c r="M197" s="27"/>
      <c r="N197" s="1">
        <v>21</v>
      </c>
      <c r="O197" s="27">
        <f t="shared" si="7"/>
        <v>5636.46</v>
      </c>
      <c r="P197" s="27">
        <f>2707.13+2929.33</f>
        <v>5636.46</v>
      </c>
      <c r="Q197" s="27"/>
      <c r="R197" s="31"/>
    </row>
    <row r="198" spans="1:2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4800</v>
      </c>
      <c r="Q198" s="27">
        <v>662.2</v>
      </c>
      <c r="R198" s="31"/>
    </row>
    <row r="199" spans="1:2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31"/>
    </row>
    <row r="200" spans="1:21" ht="27" customHeight="1">
      <c r="A200" s="46">
        <v>102</v>
      </c>
      <c r="B200" s="60" t="s">
        <v>119</v>
      </c>
      <c r="C200" s="46" t="s">
        <v>18</v>
      </c>
      <c r="D200" s="60"/>
      <c r="E200" s="60" t="s">
        <v>19</v>
      </c>
      <c r="F200" s="60" t="s">
        <v>120</v>
      </c>
      <c r="G200" s="60" t="s">
        <v>122</v>
      </c>
      <c r="H200" s="61">
        <v>0</v>
      </c>
      <c r="I200" s="32"/>
      <c r="J200" s="62"/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31"/>
    </row>
    <row r="201" spans="1:21" ht="27" customHeight="1">
      <c r="A201" s="46">
        <v>103</v>
      </c>
      <c r="B201" s="60" t="s">
        <v>325</v>
      </c>
      <c r="C201" s="46" t="s">
        <v>18</v>
      </c>
      <c r="D201" s="60"/>
      <c r="E201" s="60" t="s">
        <v>36</v>
      </c>
      <c r="F201" s="60" t="s">
        <v>446</v>
      </c>
      <c r="G201" s="60" t="s">
        <v>142</v>
      </c>
      <c r="H201" s="61">
        <v>8</v>
      </c>
      <c r="I201" s="32">
        <v>2</v>
      </c>
      <c r="J201" s="86">
        <v>2</v>
      </c>
      <c r="K201" s="27">
        <f t="shared" si="6"/>
        <v>0</v>
      </c>
      <c r="L201" s="63"/>
      <c r="M201" s="63"/>
      <c r="N201" s="32"/>
      <c r="O201" s="63">
        <v>0</v>
      </c>
      <c r="P201" s="63"/>
      <c r="Q201" s="63"/>
      <c r="R201" s="31"/>
    </row>
    <row r="202" spans="1:21" ht="27" customHeight="1">
      <c r="A202" s="46"/>
      <c r="B202" s="23" t="s">
        <v>325</v>
      </c>
      <c r="C202" s="24" t="s">
        <v>18</v>
      </c>
      <c r="D202" s="23"/>
      <c r="E202" s="23" t="s">
        <v>36</v>
      </c>
      <c r="F202" s="23" t="s">
        <v>369</v>
      </c>
      <c r="G202" s="23" t="s">
        <v>124</v>
      </c>
      <c r="H202" s="25">
        <v>1</v>
      </c>
      <c r="I202" s="2"/>
      <c r="J202" s="26"/>
      <c r="K202" s="27">
        <f t="shared" si="6"/>
        <v>0</v>
      </c>
      <c r="L202" s="27"/>
      <c r="M202" s="27"/>
      <c r="N202" s="2"/>
      <c r="O202" s="27">
        <v>0</v>
      </c>
      <c r="P202" s="27"/>
      <c r="Q202" s="27"/>
      <c r="R202" s="31"/>
    </row>
    <row r="203" spans="1:21" ht="18.75" customHeight="1" thickBot="1">
      <c r="A203" s="47"/>
      <c r="B203" s="48" t="s">
        <v>325</v>
      </c>
      <c r="C203" s="49" t="s">
        <v>18</v>
      </c>
      <c r="D203" s="48"/>
      <c r="E203" s="48" t="s">
        <v>370</v>
      </c>
      <c r="F203" s="48" t="s">
        <v>371</v>
      </c>
      <c r="G203" s="48" t="s">
        <v>136</v>
      </c>
      <c r="H203" s="50">
        <v>1</v>
      </c>
      <c r="I203" s="33"/>
      <c r="J203" s="51"/>
      <c r="K203" s="34">
        <f t="shared" si="6"/>
        <v>0</v>
      </c>
      <c r="L203" s="52"/>
      <c r="M203" s="52"/>
      <c r="N203" s="33"/>
      <c r="O203" s="52">
        <f>P203+Q203</f>
        <v>0</v>
      </c>
      <c r="P203" s="52"/>
      <c r="Q203" s="52"/>
      <c r="R203" s="31"/>
    </row>
    <row r="204" spans="1:21" ht="16.5" customHeight="1">
      <c r="A204" s="87" t="s">
        <v>145</v>
      </c>
      <c r="B204" s="87"/>
      <c r="C204" s="88"/>
      <c r="D204" s="89"/>
      <c r="E204" s="89"/>
      <c r="F204" s="89"/>
      <c r="G204" s="89"/>
      <c r="H204" s="88">
        <f>SUM(H10:H203)</f>
        <v>1495</v>
      </c>
      <c r="I204" s="88">
        <f>SUM(I10:I203)</f>
        <v>572</v>
      </c>
      <c r="J204" s="88">
        <f>SUM(J10:J203)</f>
        <v>594</v>
      </c>
      <c r="K204" s="90">
        <f>SUM(K10:K203)</f>
        <v>17066.739999999998</v>
      </c>
      <c r="L204" s="90">
        <f t="shared" ref="L204:Q204" si="8">SUM(L10:L203)</f>
        <v>17066.739999999998</v>
      </c>
      <c r="M204" s="88">
        <f t="shared" si="8"/>
        <v>0</v>
      </c>
      <c r="N204" s="88">
        <f t="shared" si="8"/>
        <v>777</v>
      </c>
      <c r="O204" s="90">
        <f>SUM(O10:O203)</f>
        <v>935891.93999999959</v>
      </c>
      <c r="P204" s="90">
        <f>SUM(P10:P203)</f>
        <v>932221.25999999966</v>
      </c>
      <c r="Q204" s="88">
        <f t="shared" si="8"/>
        <v>3670.6800000000003</v>
      </c>
      <c r="R204" s="31"/>
    </row>
    <row r="205" spans="1:21" ht="15" customHeight="1">
      <c r="A205" s="24"/>
      <c r="B205" s="23"/>
      <c r="C205" s="24"/>
      <c r="D205" s="23"/>
      <c r="E205" s="23"/>
      <c r="F205" s="23"/>
      <c r="G205" s="23"/>
      <c r="H205" s="98"/>
      <c r="I205" s="98"/>
      <c r="J205" s="98"/>
      <c r="K205" s="98"/>
      <c r="L205" s="98"/>
      <c r="M205" s="98"/>
      <c r="N205" s="98"/>
      <c r="O205" s="98"/>
      <c r="P205" s="24"/>
      <c r="Q205" s="24"/>
      <c r="R205" s="31"/>
    </row>
    <row r="206" spans="1:21">
      <c r="R206" s="31"/>
    </row>
    <row r="207" spans="1:21">
      <c r="K207" s="31"/>
      <c r="L207" s="31"/>
      <c r="M207" s="31"/>
      <c r="N207" s="31"/>
      <c r="O207" s="31"/>
      <c r="P207" s="31"/>
      <c r="Q207" s="31"/>
      <c r="R207" s="31"/>
      <c r="U207" s="31"/>
    </row>
    <row r="208" spans="1:21">
      <c r="K208" s="31"/>
      <c r="L208" s="31"/>
      <c r="N208" s="31"/>
      <c r="O208" s="31"/>
    </row>
    <row r="209" spans="11:14">
      <c r="K209" s="31"/>
      <c r="L209" s="31"/>
      <c r="N209" s="31"/>
    </row>
    <row r="210" spans="11:14">
      <c r="K210" s="31"/>
      <c r="L210" s="31"/>
    </row>
    <row r="211" spans="11:14">
      <c r="K211" s="31"/>
      <c r="L211" s="31"/>
    </row>
    <row r="212" spans="11:14">
      <c r="L212" s="31"/>
    </row>
    <row r="219" spans="11:14">
      <c r="L219" s="31"/>
    </row>
  </sheetData>
  <mergeCells count="8">
    <mergeCell ref="A204:B204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R218"/>
  <sheetViews>
    <sheetView topLeftCell="G194" zoomScaleNormal="100" workbookViewId="0">
      <selection activeCell="O206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14</v>
      </c>
      <c r="I11" s="1">
        <v>6</v>
      </c>
      <c r="J11" s="26">
        <v>6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17443.8</v>
      </c>
      <c r="P11" s="27">
        <v>17443.8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12</v>
      </c>
      <c r="I12" s="1">
        <v>4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11</v>
      </c>
      <c r="I14" s="1">
        <v>5</v>
      </c>
      <c r="J14" s="26">
        <v>9</v>
      </c>
      <c r="K14" s="27">
        <f t="shared" si="2"/>
        <v>0</v>
      </c>
      <c r="L14" s="27"/>
      <c r="M14" s="27"/>
      <c r="N14" s="1">
        <v>14</v>
      </c>
      <c r="O14" s="27">
        <f t="shared" si="1"/>
        <v>18700.02</v>
      </c>
      <c r="P14" s="27">
        <f>6380.54+898.62+5963.63+5457.23</f>
        <v>18700.02</v>
      </c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15</v>
      </c>
      <c r="I15" s="2">
        <v>11</v>
      </c>
      <c r="J15" s="26">
        <v>11</v>
      </c>
      <c r="K15" s="27">
        <f t="shared" si="2"/>
        <v>0</v>
      </c>
      <c r="L15" s="27"/>
      <c r="M15" s="27"/>
      <c r="N15" s="2">
        <v>11</v>
      </c>
      <c r="O15" s="27">
        <f t="shared" si="1"/>
        <v>9127.2999999999993</v>
      </c>
      <c r="P15" s="27">
        <v>9127.2999999999993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32</v>
      </c>
      <c r="I16" s="1">
        <v>27</v>
      </c>
      <c r="J16" s="26">
        <v>32</v>
      </c>
      <c r="K16" s="27">
        <f t="shared" si="2"/>
        <v>4556.63</v>
      </c>
      <c r="L16" s="27">
        <f>4556.63</f>
        <v>4556.63</v>
      </c>
      <c r="M16" s="27"/>
      <c r="N16" s="1">
        <v>21</v>
      </c>
      <c r="O16" s="27">
        <f t="shared" si="1"/>
        <v>33996.870000000003</v>
      </c>
      <c r="P16" s="27">
        <f>9373.48+1765.32+2881.47+14555.74+1792.06+3628.8</f>
        <v>33996.870000000003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27</v>
      </c>
      <c r="I20" s="1">
        <v>19</v>
      </c>
      <c r="J20" s="26">
        <v>20</v>
      </c>
      <c r="K20" s="27">
        <f t="shared" si="2"/>
        <v>7945.39</v>
      </c>
      <c r="L20" s="27">
        <f>7945.39</f>
        <v>7945.39</v>
      </c>
      <c r="M20" s="27"/>
      <c r="N20" s="1">
        <v>21</v>
      </c>
      <c r="O20" s="27">
        <f t="shared" si="1"/>
        <v>34542.03</v>
      </c>
      <c r="P20" s="27">
        <f>4072.37+2831.63+9295.25+1395.5+16947.28</f>
        <v>34542.03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1</v>
      </c>
      <c r="O21" s="27">
        <f t="shared" si="1"/>
        <v>1850.1</v>
      </c>
      <c r="P21" s="27">
        <v>1850.1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3524</v>
      </c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6214.38</v>
      </c>
      <c r="P23" s="27">
        <f>488+2791.37+2935.01</f>
        <v>6214.38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0</v>
      </c>
      <c r="L26" s="27"/>
      <c r="M26" s="27"/>
      <c r="N26" s="1">
        <v>1</v>
      </c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3</v>
      </c>
      <c r="O27" s="27">
        <f t="shared" si="1"/>
        <v>12527.2</v>
      </c>
      <c r="P27" s="27">
        <f>3364.54+9162.66</f>
        <v>12527.2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1</v>
      </c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16</v>
      </c>
      <c r="I29" s="1">
        <v>10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11735.84</v>
      </c>
      <c r="P29" s="27">
        <f>1585.49+7579.12+718.9+1852.33</f>
        <v>11735.84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3</v>
      </c>
      <c r="J31" s="26">
        <v>3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14</v>
      </c>
      <c r="I32" s="1">
        <v>8</v>
      </c>
      <c r="J32" s="26">
        <v>9</v>
      </c>
      <c r="K32" s="27">
        <f t="shared" si="2"/>
        <v>0</v>
      </c>
      <c r="L32" s="27"/>
      <c r="M32" s="27"/>
      <c r="N32" s="1">
        <v>10</v>
      </c>
      <c r="O32" s="27">
        <f t="shared" si="1"/>
        <v>26399.21</v>
      </c>
      <c r="P32" s="27">
        <f>8353.67+11335.86+6709.68</f>
        <v>26399.21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4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9</v>
      </c>
      <c r="I35" s="1"/>
      <c r="J35" s="26"/>
      <c r="K35" s="27">
        <f t="shared" si="2"/>
        <v>0</v>
      </c>
      <c r="L35" s="27"/>
      <c r="M35" s="27"/>
      <c r="N35" s="1">
        <v>5</v>
      </c>
      <c r="O35" s="27">
        <f t="shared" si="1"/>
        <v>1233.4000000000001</v>
      </c>
      <c r="P35" s="27">
        <v>1233.4000000000001</v>
      </c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11</v>
      </c>
      <c r="I36" s="1">
        <v>2</v>
      </c>
      <c r="J36" s="26">
        <v>2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10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5990.8</v>
      </c>
      <c r="P37" s="27">
        <v>5990.8</v>
      </c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13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12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1233.4000000000001</v>
      </c>
      <c r="P39" s="27">
        <v>1233.4000000000001</v>
      </c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5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2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7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17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5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6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6</v>
      </c>
      <c r="I47" s="1"/>
      <c r="J47" s="26"/>
      <c r="K47" s="27">
        <f t="shared" si="2"/>
        <v>0</v>
      </c>
      <c r="L47" s="27"/>
      <c r="M47" s="27"/>
      <c r="N47" s="1">
        <v>7</v>
      </c>
      <c r="O47" s="27">
        <f t="shared" si="1"/>
        <v>3105.53</v>
      </c>
      <c r="P47" s="27">
        <v>3105.53</v>
      </c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11</v>
      </c>
      <c r="I48" s="1">
        <v>10</v>
      </c>
      <c r="J48" s="26">
        <v>10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5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14</v>
      </c>
      <c r="I50" s="1">
        <v>11</v>
      </c>
      <c r="J50" s="26">
        <v>11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7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16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8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7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12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20</v>
      </c>
      <c r="I59" s="82">
        <v>9</v>
      </c>
      <c r="J59" s="26">
        <v>9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26</v>
      </c>
      <c r="I60" s="1">
        <v>9</v>
      </c>
      <c r="J60" s="26">
        <v>9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14687.21</v>
      </c>
      <c r="P61" s="27">
        <f>3558.78+6542.54+4585.89</f>
        <v>14687.21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8</v>
      </c>
      <c r="O62" s="27">
        <f t="shared" si="1"/>
        <v>2995.4</v>
      </c>
      <c r="P62" s="27">
        <v>2995.4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8</v>
      </c>
      <c r="J63" s="26">
        <v>8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2</v>
      </c>
      <c r="J64" s="26">
        <v>2</v>
      </c>
      <c r="K64" s="27">
        <f t="shared" si="2"/>
        <v>0</v>
      </c>
      <c r="L64" s="27"/>
      <c r="M64" s="27"/>
      <c r="N64" s="1">
        <v>9</v>
      </c>
      <c r="O64" s="27">
        <f t="shared" si="1"/>
        <v>6537.02</v>
      </c>
      <c r="P64" s="27">
        <v>6537.02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13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2114.4</v>
      </c>
      <c r="P67" s="27">
        <v>2114.4</v>
      </c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10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9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17</v>
      </c>
      <c r="I70" s="2">
        <v>6</v>
      </c>
      <c r="J70" s="26">
        <v>6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24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21</v>
      </c>
      <c r="I73" s="1">
        <v>12</v>
      </c>
      <c r="J73" s="26">
        <v>12</v>
      </c>
      <c r="K73" s="27">
        <f t="shared" si="2"/>
        <v>607.08000000000004</v>
      </c>
      <c r="L73" s="27">
        <f>607.08</f>
        <v>607.08000000000004</v>
      </c>
      <c r="M73" s="27"/>
      <c r="N73" s="1">
        <v>7</v>
      </c>
      <c r="O73" s="27">
        <f t="shared" si="1"/>
        <v>25380.270000000004</v>
      </c>
      <c r="P73" s="27">
        <f>4688.79+16818.4+3873.08</f>
        <v>25380.270000000004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8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10426.64</v>
      </c>
      <c r="P75" s="27">
        <v>10426.64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11</v>
      </c>
      <c r="I77" s="1">
        <v>6</v>
      </c>
      <c r="J77" s="26">
        <v>6</v>
      </c>
      <c r="K77" s="27">
        <f t="shared" si="2"/>
        <v>0</v>
      </c>
      <c r="L77" s="27"/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9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7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3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42</v>
      </c>
      <c r="I83" s="1">
        <v>26</v>
      </c>
      <c r="J83" s="26">
        <v>26</v>
      </c>
      <c r="K83" s="27">
        <f t="shared" si="2"/>
        <v>0</v>
      </c>
      <c r="L83" s="27"/>
      <c r="M83" s="27"/>
      <c r="N83" s="1">
        <v>2</v>
      </c>
      <c r="O83" s="27">
        <f t="shared" si="1"/>
        <v>6215.87</v>
      </c>
      <c r="P83" s="27">
        <v>6215.87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25</v>
      </c>
      <c r="I86" s="1">
        <v>20</v>
      </c>
      <c r="J86" s="26">
        <v>21</v>
      </c>
      <c r="K86" s="27">
        <f t="shared" ref="K86:K154" si="3">L86+M86</f>
        <v>5061.8599999999997</v>
      </c>
      <c r="L86" s="27">
        <f>5061.86</f>
        <v>5061.8599999999997</v>
      </c>
      <c r="M86" s="27"/>
      <c r="N86" s="1">
        <v>11</v>
      </c>
      <c r="O86" s="27">
        <f t="shared" si="1"/>
        <v>15997.900000000001</v>
      </c>
      <c r="P86" s="27">
        <f>1369.13+3431.04+7740.64+2536.47+920.62</f>
        <v>15997.900000000001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7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2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3</v>
      </c>
      <c r="J92" s="26">
        <v>3</v>
      </c>
      <c r="K92" s="27">
        <f t="shared" si="3"/>
        <v>0</v>
      </c>
      <c r="L92" s="27"/>
      <c r="M92" s="27"/>
      <c r="N92" s="2">
        <v>17</v>
      </c>
      <c r="O92" s="27">
        <f t="shared" si="1"/>
        <v>0</v>
      </c>
      <c r="P92" s="27"/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19</v>
      </c>
      <c r="I101" s="1">
        <v>10</v>
      </c>
      <c r="J101" s="26">
        <v>10</v>
      </c>
      <c r="K101" s="27">
        <f t="shared" si="3"/>
        <v>0</v>
      </c>
      <c r="L101" s="27"/>
      <c r="M101" s="27"/>
      <c r="N101" s="1">
        <v>9</v>
      </c>
      <c r="O101" s="27">
        <f t="shared" si="4"/>
        <v>12594.32</v>
      </c>
      <c r="P101" s="27">
        <f>8926.48+3667.84</f>
        <v>12594.32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11</v>
      </c>
      <c r="I102" s="1">
        <v>7</v>
      </c>
      <c r="J102" s="26">
        <v>7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11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9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14</v>
      </c>
      <c r="I105" s="1">
        <v>5</v>
      </c>
      <c r="J105" s="26">
        <v>5</v>
      </c>
      <c r="K105" s="27">
        <f t="shared" si="3"/>
        <v>977.91</v>
      </c>
      <c r="L105" s="27">
        <v>977.91</v>
      </c>
      <c r="M105" s="27"/>
      <c r="N105" s="1">
        <v>17</v>
      </c>
      <c r="O105" s="27">
        <f>P105+Q105</f>
        <v>67534.05</v>
      </c>
      <c r="P105" s="27">
        <f>7142.66+6007.6+11985.28+16853.32+13359.63+12185.56</f>
        <v>67534.05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11</v>
      </c>
      <c r="I106" s="1">
        <v>2</v>
      </c>
      <c r="J106" s="26">
        <v>2</v>
      </c>
      <c r="K106" s="27">
        <f t="shared" si="3"/>
        <v>0</v>
      </c>
      <c r="L106" s="27"/>
      <c r="M106" s="27"/>
      <c r="N106" s="1">
        <v>8</v>
      </c>
      <c r="O106" s="27">
        <f>P106+Q106</f>
        <v>5726.5</v>
      </c>
      <c r="P106" s="27">
        <v>5726.5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15</v>
      </c>
      <c r="I107" s="2">
        <v>2</v>
      </c>
      <c r="J107" s="26">
        <v>2</v>
      </c>
      <c r="K107" s="27">
        <f t="shared" si="3"/>
        <v>0</v>
      </c>
      <c r="L107" s="27"/>
      <c r="M107" s="27"/>
      <c r="N107" s="2">
        <v>26</v>
      </c>
      <c r="O107" s="27">
        <f>P107+Q107</f>
        <v>39612.51</v>
      </c>
      <c r="P107" s="35">
        <v>39612.51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/>
      <c r="J109" s="26"/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5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11</v>
      </c>
      <c r="I111" s="2">
        <v>7</v>
      </c>
      <c r="J111" s="26">
        <v>7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11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8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21</v>
      </c>
      <c r="I114" s="1">
        <v>18</v>
      </c>
      <c r="J114" s="26">
        <v>18</v>
      </c>
      <c r="K114" s="27">
        <f t="shared" si="3"/>
        <v>6292.32</v>
      </c>
      <c r="L114" s="27">
        <f>6292.32</f>
        <v>6292.32</v>
      </c>
      <c r="M114" s="27"/>
      <c r="N114" s="1">
        <v>8</v>
      </c>
      <c r="O114" s="27">
        <f t="shared" si="4"/>
        <v>19259.79</v>
      </c>
      <c r="P114" s="27">
        <f>3646.63+15405.61+207.55</f>
        <v>19259.79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20</v>
      </c>
      <c r="I118" s="1">
        <v>17</v>
      </c>
      <c r="J118" s="26">
        <v>18</v>
      </c>
      <c r="K118" s="27">
        <f t="shared" si="3"/>
        <v>868.67</v>
      </c>
      <c r="L118" s="27">
        <v>868.67</v>
      </c>
      <c r="M118" s="27"/>
      <c r="N118" s="1">
        <v>9</v>
      </c>
      <c r="O118" s="27">
        <f t="shared" si="4"/>
        <v>4753.6899999999996</v>
      </c>
      <c r="P118" s="27">
        <f>3333.95+1419.74</f>
        <v>4753.6899999999996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14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6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6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7736.87</v>
      </c>
      <c r="P124" s="27">
        <f>2479.17+3260.79+1996.91</f>
        <v>7736.87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2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18</v>
      </c>
      <c r="I126" s="1">
        <v>15</v>
      </c>
      <c r="J126" s="26">
        <v>15</v>
      </c>
      <c r="K126" s="27">
        <f t="shared" si="3"/>
        <v>2262.41</v>
      </c>
      <c r="L126" s="27">
        <f>2262.41</f>
        <v>2262.41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40</v>
      </c>
      <c r="I128" s="1">
        <v>34</v>
      </c>
      <c r="J128" s="26">
        <v>34</v>
      </c>
      <c r="K128" s="27">
        <f t="shared" si="3"/>
        <v>4622.62</v>
      </c>
      <c r="L128" s="27">
        <v>4622.62</v>
      </c>
      <c r="M128" s="27"/>
      <c r="N128" s="1">
        <v>11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9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18</v>
      </c>
      <c r="I130" s="1">
        <v>13</v>
      </c>
      <c r="J130" s="26">
        <v>13</v>
      </c>
      <c r="K130" s="27">
        <f t="shared" si="3"/>
        <v>1150.5899999999999</v>
      </c>
      <c r="L130" s="27">
        <f>1150.59</f>
        <v>1150.5899999999999</v>
      </c>
      <c r="M130" s="27"/>
      <c r="N130" s="1">
        <v>10</v>
      </c>
      <c r="O130" s="27">
        <f t="shared" si="4"/>
        <v>16350.84</v>
      </c>
      <c r="P130" s="27">
        <f>919.46+2791.44+2825.9+1143.1+4609.59+4061.35</f>
        <v>16350.84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20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18168.28</v>
      </c>
      <c r="P132" s="27">
        <f>6606.63+11561.65</f>
        <v>18168.28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4</v>
      </c>
      <c r="J133" s="26">
        <v>4</v>
      </c>
      <c r="K133" s="27">
        <f t="shared" si="3"/>
        <v>0</v>
      </c>
      <c r="L133" s="27"/>
      <c r="M133" s="27"/>
      <c r="N133" s="1">
        <v>8</v>
      </c>
      <c r="O133" s="27">
        <f t="shared" si="4"/>
        <v>3039.46</v>
      </c>
      <c r="P133" s="27">
        <v>3039.46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19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20511.48</v>
      </c>
      <c r="P134" s="27">
        <f>1359.87+2464.36+5364.57+11322.68</f>
        <v>20511.48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2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18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4034.98</v>
      </c>
      <c r="P137" s="27">
        <v>4034.98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13</v>
      </c>
      <c r="I138" s="1">
        <v>6</v>
      </c>
      <c r="J138" s="26">
        <v>6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7</v>
      </c>
      <c r="I139" s="1"/>
      <c r="J139" s="26"/>
      <c r="K139" s="27">
        <f t="shared" si="3"/>
        <v>0</v>
      </c>
      <c r="L139" s="27"/>
      <c r="M139" s="27"/>
      <c r="N139" s="1">
        <v>5</v>
      </c>
      <c r="O139" s="27">
        <f t="shared" si="4"/>
        <v>2819.2</v>
      </c>
      <c r="P139" s="36">
        <v>2819.2</v>
      </c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10</v>
      </c>
      <c r="I140" s="1">
        <v>5</v>
      </c>
      <c r="J140" s="26">
        <v>5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7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8438.2199999999993</v>
      </c>
      <c r="P141" s="27">
        <f>8438.22</f>
        <v>8438.2199999999993</v>
      </c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0</v>
      </c>
      <c r="P142" s="27"/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8</v>
      </c>
      <c r="I146" s="1">
        <v>4</v>
      </c>
      <c r="J146" s="26">
        <v>5</v>
      </c>
      <c r="K146" s="27">
        <f t="shared" si="3"/>
        <v>1279.21</v>
      </c>
      <c r="L146" s="27">
        <v>1279.21</v>
      </c>
      <c r="M146" s="27"/>
      <c r="N146" s="1">
        <v>2</v>
      </c>
      <c r="O146" s="27">
        <f t="shared" si="4"/>
        <v>486.08</v>
      </c>
      <c r="P146" s="27">
        <v>486.08</v>
      </c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16</v>
      </c>
      <c r="I148" s="1">
        <v>1</v>
      </c>
      <c r="J148" s="26">
        <v>1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29</v>
      </c>
      <c r="I149" s="1">
        <v>16</v>
      </c>
      <c r="J149" s="26">
        <v>22</v>
      </c>
      <c r="K149" s="27">
        <f t="shared" si="3"/>
        <v>0</v>
      </c>
      <c r="L149" s="27"/>
      <c r="M149" s="27"/>
      <c r="N149" s="1">
        <v>8</v>
      </c>
      <c r="O149" s="27">
        <f t="shared" si="4"/>
        <v>5675.37</v>
      </c>
      <c r="P149" s="27">
        <v>5675.37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5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12</v>
      </c>
      <c r="I154" s="1">
        <v>1</v>
      </c>
      <c r="J154" s="26">
        <v>1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5</v>
      </c>
      <c r="I155" s="1"/>
      <c r="J155" s="26"/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4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13</v>
      </c>
      <c r="I157" s="1">
        <v>13</v>
      </c>
      <c r="J157" s="26">
        <v>14</v>
      </c>
      <c r="K157" s="27">
        <f t="shared" si="6"/>
        <v>4990.0600000000004</v>
      </c>
      <c r="L157" s="27">
        <f>4990.06</f>
        <v>4990.0600000000004</v>
      </c>
      <c r="M157" s="27"/>
      <c r="N157" s="1">
        <v>6</v>
      </c>
      <c r="O157" s="27">
        <f t="shared" si="4"/>
        <v>14301.02</v>
      </c>
      <c r="P157" s="27">
        <f>887.45+1225.31+5357.66+6830.6</f>
        <v>14301.02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7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3</v>
      </c>
      <c r="I165" s="40"/>
      <c r="J165" s="43"/>
      <c r="K165" s="39">
        <v>0</v>
      </c>
      <c r="L165" s="39"/>
      <c r="M165" s="39"/>
      <c r="N165" s="40"/>
      <c r="O165" s="39"/>
      <c r="P165" s="39"/>
      <c r="Q165" s="39"/>
      <c r="R165" s="31"/>
    </row>
    <row r="166" spans="1:1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12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8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31"/>
    </row>
    <row r="170" spans="1:1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8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18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8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11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31"/>
    </row>
    <row r="174" spans="1:1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5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3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18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18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31"/>
    </row>
    <row r="178" spans="1:1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18</v>
      </c>
      <c r="O178" s="27">
        <f t="shared" si="4"/>
        <v>1233.4000000000001</v>
      </c>
      <c r="P178" s="27">
        <v>1233.4000000000001</v>
      </c>
      <c r="Q178" s="27"/>
      <c r="R178" s="31"/>
    </row>
    <row r="179" spans="1:1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23</v>
      </c>
      <c r="I179" s="1">
        <v>19</v>
      </c>
      <c r="J179" s="26">
        <v>19</v>
      </c>
      <c r="K179" s="27">
        <f t="shared" si="6"/>
        <v>0</v>
      </c>
      <c r="L179" s="27"/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31"/>
    </row>
    <row r="180" spans="1:18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8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31"/>
    </row>
    <row r="181" spans="1:18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13026.67</v>
      </c>
      <c r="P181" s="27">
        <f>2891.29+9127.51+1007.87</f>
        <v>13026.67</v>
      </c>
      <c r="Q181" s="27"/>
      <c r="R181" s="31"/>
    </row>
    <row r="182" spans="1:1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35</v>
      </c>
      <c r="I182" s="1">
        <v>23</v>
      </c>
      <c r="J182" s="26">
        <v>23</v>
      </c>
      <c r="K182" s="27">
        <f t="shared" si="6"/>
        <v>2547.86</v>
      </c>
      <c r="L182" s="27">
        <v>2547.86</v>
      </c>
      <c r="M182" s="27"/>
      <c r="N182" s="1">
        <v>17</v>
      </c>
      <c r="O182" s="27">
        <f t="shared" si="4"/>
        <v>58371.320000000007</v>
      </c>
      <c r="P182" s="27">
        <f>8759.8+505.2+4743.98+1370.7+8567.35+22476.66+1292.01+10655.62</f>
        <v>58371.320000000007</v>
      </c>
      <c r="Q182" s="27"/>
      <c r="R182" s="31"/>
    </row>
    <row r="183" spans="1:18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21</v>
      </c>
      <c r="I183" s="1">
        <v>1</v>
      </c>
      <c r="J183" s="26">
        <v>1</v>
      </c>
      <c r="K183" s="27">
        <f t="shared" si="6"/>
        <v>0</v>
      </c>
      <c r="L183" s="27"/>
      <c r="M183" s="27"/>
      <c r="N183" s="1">
        <v>14</v>
      </c>
      <c r="O183" s="27">
        <f t="shared" si="4"/>
        <v>13395.22</v>
      </c>
      <c r="P183" s="27">
        <v>13395.22</v>
      </c>
      <c r="Q183" s="27"/>
      <c r="R183" s="31"/>
    </row>
    <row r="184" spans="1:1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31"/>
    </row>
    <row r="185" spans="1:1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31"/>
    </row>
    <row r="186" spans="1:1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31"/>
    </row>
    <row r="187" spans="1:1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17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14</v>
      </c>
      <c r="O187" s="27">
        <f t="shared" si="4"/>
        <v>26632.34</v>
      </c>
      <c r="P187" s="27">
        <v>26632.34</v>
      </c>
      <c r="Q187" s="27"/>
      <c r="R187" s="31"/>
    </row>
    <row r="188" spans="1:1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7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31"/>
    </row>
    <row r="189" spans="1:1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7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9867.2000000000007</v>
      </c>
      <c r="P189" s="27">
        <v>9867.2000000000007</v>
      </c>
      <c r="Q189" s="27"/>
      <c r="R189" s="31"/>
    </row>
    <row r="190" spans="1:1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18</v>
      </c>
      <c r="I190" s="2">
        <v>14</v>
      </c>
      <c r="J190" s="26">
        <v>14</v>
      </c>
      <c r="K190" s="27"/>
      <c r="L190" s="27"/>
      <c r="M190" s="27"/>
      <c r="N190" s="2"/>
      <c r="O190" s="27"/>
      <c r="P190" s="27"/>
      <c r="Q190" s="27"/>
      <c r="R190" s="31"/>
    </row>
    <row r="191" spans="1:1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31"/>
    </row>
    <row r="192" spans="1:1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31"/>
    </row>
    <row r="193" spans="1:18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31"/>
    </row>
    <row r="194" spans="1:18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31"/>
    </row>
    <row r="195" spans="1:18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31</v>
      </c>
      <c r="I195" s="1">
        <v>18</v>
      </c>
      <c r="J195" s="44">
        <v>18</v>
      </c>
      <c r="K195" s="27">
        <f t="shared" si="6"/>
        <v>33986.29</v>
      </c>
      <c r="L195" s="27">
        <f>16538.14+17448.15</f>
        <v>33986.29</v>
      </c>
      <c r="M195" s="27"/>
      <c r="N195" s="1">
        <v>3</v>
      </c>
      <c r="O195" s="27">
        <f t="shared" si="7"/>
        <v>14077.71</v>
      </c>
      <c r="P195" s="27">
        <v>14077.71</v>
      </c>
      <c r="Q195" s="27"/>
      <c r="R195" s="31"/>
    </row>
    <row r="196" spans="1:18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31"/>
    </row>
    <row r="197" spans="1:18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19</v>
      </c>
      <c r="I197" s="1">
        <v>9</v>
      </c>
      <c r="J197" s="44">
        <v>9</v>
      </c>
      <c r="K197" s="27">
        <f t="shared" si="6"/>
        <v>0</v>
      </c>
      <c r="L197" s="27"/>
      <c r="M197" s="27"/>
      <c r="N197" s="1">
        <v>23</v>
      </c>
      <c r="O197" s="27">
        <f t="shared" si="7"/>
        <v>8691.5400000000009</v>
      </c>
      <c r="P197" s="27">
        <f>2707.13+2929.33+825.14+2229.94</f>
        <v>8691.5400000000009</v>
      </c>
      <c r="Q197" s="27"/>
      <c r="R197" s="31"/>
    </row>
    <row r="198" spans="1:18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31"/>
    </row>
    <row r="199" spans="1:18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31"/>
    </row>
    <row r="200" spans="1:18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8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31"/>
    </row>
    <row r="201" spans="1:18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1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31"/>
    </row>
    <row r="202" spans="1:18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1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31"/>
    </row>
    <row r="203" spans="1:18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1576</v>
      </c>
      <c r="I203" s="88">
        <f>SUM(I10:I202)</f>
        <v>622</v>
      </c>
      <c r="J203" s="88">
        <f>SUM(J10:J202)</f>
        <v>648</v>
      </c>
      <c r="K203" s="90">
        <f>SUM(K10:K202)</f>
        <v>95686.24</v>
      </c>
      <c r="L203" s="90">
        <f t="shared" ref="L203:Q203" si="8">SUM(L10:L202)</f>
        <v>95686.24</v>
      </c>
      <c r="M203" s="88">
        <f t="shared" si="8"/>
        <v>0</v>
      </c>
      <c r="N203" s="88">
        <f t="shared" si="8"/>
        <v>802</v>
      </c>
      <c r="O203" s="90">
        <f>SUM(O10:O202)</f>
        <v>1160816.53</v>
      </c>
      <c r="P203" s="90">
        <f>SUM(P10:P202)</f>
        <v>1160816.53</v>
      </c>
      <c r="Q203" s="88">
        <f t="shared" si="8"/>
        <v>0</v>
      </c>
      <c r="R203" s="31"/>
    </row>
    <row r="204" spans="1:18" ht="15" customHeight="1">
      <c r="A204" s="24"/>
      <c r="B204" s="23"/>
      <c r="C204" s="24"/>
      <c r="D204" s="23"/>
      <c r="E204" s="23"/>
      <c r="F204" s="23"/>
      <c r="G204" s="23"/>
      <c r="H204" s="98"/>
      <c r="I204" s="98"/>
      <c r="J204" s="98"/>
      <c r="K204" s="98"/>
      <c r="L204" s="98"/>
      <c r="M204" s="98"/>
      <c r="N204" s="98"/>
      <c r="O204" s="98"/>
      <c r="P204" s="24"/>
      <c r="Q204" s="24"/>
      <c r="R204" s="31"/>
    </row>
    <row r="205" spans="1:18">
      <c r="R205" s="31"/>
    </row>
    <row r="206" spans="1:18">
      <c r="K206" s="31"/>
      <c r="L206" s="31"/>
      <c r="M206" s="31"/>
      <c r="O206" s="31"/>
    </row>
    <row r="207" spans="1:18">
      <c r="K207" s="31"/>
      <c r="L207" s="31"/>
      <c r="N207" s="31"/>
      <c r="O207" s="31"/>
    </row>
    <row r="208" spans="1:18">
      <c r="K208" s="31"/>
      <c r="L208" s="31"/>
      <c r="N208" s="31"/>
    </row>
    <row r="209" spans="11:12">
      <c r="K209" s="31"/>
      <c r="L209" s="31"/>
    </row>
    <row r="210" spans="11:12">
      <c r="K210" s="31"/>
      <c r="L210" s="31"/>
    </row>
    <row r="211" spans="11:12">
      <c r="L211" s="31"/>
    </row>
    <row r="218" spans="11:12">
      <c r="L218" s="31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218"/>
  <sheetViews>
    <sheetView topLeftCell="A194" zoomScale="80" zoomScaleNormal="80" workbookViewId="0">
      <selection activeCell="A206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9" width="12.5703125" style="28" customWidth="1"/>
    <col min="20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16</v>
      </c>
      <c r="I11" s="1">
        <v>7</v>
      </c>
      <c r="J11" s="26">
        <v>7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17443.8</v>
      </c>
      <c r="P11" s="27">
        <v>17443.8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13</v>
      </c>
      <c r="I12" s="1">
        <v>4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14</v>
      </c>
      <c r="I14" s="1">
        <v>7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16</v>
      </c>
      <c r="I15" s="2">
        <v>11</v>
      </c>
      <c r="J15" s="26">
        <v>11</v>
      </c>
      <c r="K15" s="27">
        <f t="shared" si="2"/>
        <v>0</v>
      </c>
      <c r="L15" s="27"/>
      <c r="M15" s="27"/>
      <c r="N15" s="2">
        <v>12</v>
      </c>
      <c r="O15" s="27">
        <f t="shared" si="1"/>
        <v>9127.2999999999993</v>
      </c>
      <c r="P15" s="27">
        <v>9127.2999999999993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32</v>
      </c>
      <c r="I16" s="1">
        <v>27</v>
      </c>
      <c r="J16" s="26">
        <v>32</v>
      </c>
      <c r="K16" s="27">
        <f t="shared" si="2"/>
        <v>4556.63</v>
      </c>
      <c r="L16" s="27">
        <f>4556.63</f>
        <v>4556.63</v>
      </c>
      <c r="M16" s="27"/>
      <c r="N16" s="1">
        <v>21</v>
      </c>
      <c r="O16" s="27">
        <f t="shared" si="1"/>
        <v>33996.870000000003</v>
      </c>
      <c r="P16" s="27">
        <f>9373.48+1765.32+2881.47+14555.74+1792.06+3628.8</f>
        <v>33996.870000000003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30</v>
      </c>
      <c r="I20" s="1">
        <v>19</v>
      </c>
      <c r="J20" s="26">
        <v>20</v>
      </c>
      <c r="K20" s="27">
        <f t="shared" si="2"/>
        <v>7945.39</v>
      </c>
      <c r="L20" s="27">
        <f>7945.39</f>
        <v>7945.39</v>
      </c>
      <c r="M20" s="27"/>
      <c r="N20" s="1">
        <v>21</v>
      </c>
      <c r="O20" s="27">
        <f t="shared" si="1"/>
        <v>34542.03</v>
      </c>
      <c r="P20" s="27">
        <f>4072.37+2831.63+9295.25+1395.5+16947.28</f>
        <v>34542.03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6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0</v>
      </c>
      <c r="I22" s="2"/>
      <c r="J22" s="26"/>
      <c r="K22" s="27">
        <f t="shared" si="2"/>
        <v>0</v>
      </c>
      <c r="L22" s="27"/>
      <c r="M22" s="27"/>
      <c r="N22" s="2">
        <v>10</v>
      </c>
      <c r="O22" s="27">
        <f t="shared" si="1"/>
        <v>3524</v>
      </c>
      <c r="P22" s="27">
        <v>3524</v>
      </c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6214.38</v>
      </c>
      <c r="P23" s="27">
        <f>488+2791.37+2935.01</f>
        <v>6214.38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0</v>
      </c>
      <c r="L26" s="27"/>
      <c r="M26" s="27"/>
      <c r="N26" s="1">
        <v>1</v>
      </c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3</v>
      </c>
      <c r="O27" s="27">
        <f t="shared" si="1"/>
        <v>12527.2</v>
      </c>
      <c r="P27" s="27">
        <f>3364.54+9162.66</f>
        <v>12527.2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1</v>
      </c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18</v>
      </c>
      <c r="I29" s="1">
        <v>10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11735.84</v>
      </c>
      <c r="P29" s="27">
        <f>1585.49+7579.12+718.9+1852.33</f>
        <v>11735.84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3</v>
      </c>
      <c r="J31" s="26">
        <v>3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15</v>
      </c>
      <c r="I32" s="1">
        <v>10</v>
      </c>
      <c r="J32" s="26">
        <v>12</v>
      </c>
      <c r="K32" s="27">
        <f t="shared" si="2"/>
        <v>0</v>
      </c>
      <c r="L32" s="27"/>
      <c r="M32" s="27"/>
      <c r="N32" s="1">
        <v>12</v>
      </c>
      <c r="O32" s="27">
        <f t="shared" si="1"/>
        <v>26399.21</v>
      </c>
      <c r="P32" s="27">
        <f>8353.67+11335.86+6709.68</f>
        <v>26399.21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4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9</v>
      </c>
      <c r="I35" s="1"/>
      <c r="J35" s="26"/>
      <c r="K35" s="27">
        <f t="shared" si="2"/>
        <v>0</v>
      </c>
      <c r="L35" s="27"/>
      <c r="M35" s="27"/>
      <c r="N35" s="1">
        <v>6</v>
      </c>
      <c r="O35" s="27">
        <f t="shared" si="1"/>
        <v>1233.4000000000001</v>
      </c>
      <c r="P35" s="27">
        <v>1233.4000000000001</v>
      </c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12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12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5990.8</v>
      </c>
      <c r="P37" s="27">
        <v>5990.8</v>
      </c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14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12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1233.4000000000001</v>
      </c>
      <c r="P39" s="27">
        <v>1233.4000000000001</v>
      </c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6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5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7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19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6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7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6</v>
      </c>
      <c r="I47" s="1"/>
      <c r="J47" s="26"/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12</v>
      </c>
      <c r="I48" s="1">
        <v>10</v>
      </c>
      <c r="J48" s="26">
        <v>11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5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14</v>
      </c>
      <c r="I50" s="1">
        <v>11</v>
      </c>
      <c r="J50" s="26">
        <v>11</v>
      </c>
      <c r="K50" s="27">
        <f t="shared" si="2"/>
        <v>0</v>
      </c>
      <c r="L50" s="27"/>
      <c r="M50" s="27"/>
      <c r="N50" s="1">
        <v>6</v>
      </c>
      <c r="O50" s="27">
        <f t="shared" si="1"/>
        <v>13853.78</v>
      </c>
      <c r="P50" s="27">
        <f>6837.93+3382.02+3633.83</f>
        <v>13853.78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7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8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10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12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23</v>
      </c>
      <c r="I59" s="82">
        <v>10</v>
      </c>
      <c r="J59" s="26">
        <v>10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27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14687.21</v>
      </c>
      <c r="P61" s="27">
        <f>3558.78+6542.54+4585.89</f>
        <v>14687.21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9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9</v>
      </c>
      <c r="O62" s="27">
        <f t="shared" si="1"/>
        <v>2995.4</v>
      </c>
      <c r="P62" s="27">
        <v>2995.4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8</v>
      </c>
      <c r="J63" s="26">
        <v>8</v>
      </c>
      <c r="K63" s="27">
        <f t="shared" si="2"/>
        <v>0</v>
      </c>
      <c r="L63" s="27"/>
      <c r="M63" s="27"/>
      <c r="N63" s="1">
        <v>5</v>
      </c>
      <c r="O63" s="27">
        <f t="shared" si="1"/>
        <v>11885.880000000001</v>
      </c>
      <c r="P63" s="27">
        <f>3793.8+8092.08</f>
        <v>11885.880000000001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2</v>
      </c>
      <c r="J64" s="26">
        <v>2</v>
      </c>
      <c r="K64" s="27">
        <f t="shared" si="2"/>
        <v>0</v>
      </c>
      <c r="L64" s="27"/>
      <c r="M64" s="27"/>
      <c r="N64" s="1">
        <v>9</v>
      </c>
      <c r="O64" s="27">
        <f t="shared" si="1"/>
        <v>6537.02</v>
      </c>
      <c r="P64" s="27">
        <v>6537.02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13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8</v>
      </c>
      <c r="J66" s="26">
        <v>8</v>
      </c>
      <c r="K66" s="27">
        <f t="shared" si="2"/>
        <v>0</v>
      </c>
      <c r="L66" s="27"/>
      <c r="M66" s="27"/>
      <c r="N66" s="1">
        <v>8</v>
      </c>
      <c r="O66" s="27">
        <f t="shared" si="1"/>
        <v>12558.4</v>
      </c>
      <c r="P66" s="27">
        <f>1353.94+9352.06+1852.4</f>
        <v>12558.4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3</v>
      </c>
      <c r="O67" s="27">
        <f t="shared" si="1"/>
        <v>2114.4</v>
      </c>
      <c r="P67" s="27">
        <v>2114.4</v>
      </c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10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9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18</v>
      </c>
      <c r="I70" s="2">
        <v>6</v>
      </c>
      <c r="J70" s="26">
        <v>6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24</v>
      </c>
      <c r="I71" s="1">
        <v>7</v>
      </c>
      <c r="J71" s="26">
        <v>7</v>
      </c>
      <c r="K71" s="27">
        <f t="shared" si="2"/>
        <v>0</v>
      </c>
      <c r="L71" s="27"/>
      <c r="M71" s="27"/>
      <c r="N71" s="1">
        <v>13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21</v>
      </c>
      <c r="I73" s="1">
        <v>13</v>
      </c>
      <c r="J73" s="26">
        <v>13</v>
      </c>
      <c r="K73" s="27">
        <f t="shared" si="2"/>
        <v>607.08000000000004</v>
      </c>
      <c r="L73" s="27">
        <f>607.08</f>
        <v>607.08000000000004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8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10426.64</v>
      </c>
      <c r="P75" s="27">
        <v>10426.64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11</v>
      </c>
      <c r="I77" s="1">
        <v>6</v>
      </c>
      <c r="J77" s="26">
        <v>6</v>
      </c>
      <c r="K77" s="27">
        <f t="shared" si="2"/>
        <v>0</v>
      </c>
      <c r="L77" s="27"/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10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7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3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42</v>
      </c>
      <c r="I83" s="1">
        <v>28</v>
      </c>
      <c r="J83" s="26">
        <v>28</v>
      </c>
      <c r="K83" s="27">
        <f t="shared" si="2"/>
        <v>0</v>
      </c>
      <c r="L83" s="27"/>
      <c r="M83" s="27"/>
      <c r="N83" s="1">
        <v>2</v>
      </c>
      <c r="O83" s="27">
        <f t="shared" si="1"/>
        <v>6215.87</v>
      </c>
      <c r="P83" s="27">
        <v>6215.87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26</v>
      </c>
      <c r="I86" s="1">
        <v>21</v>
      </c>
      <c r="J86" s="26">
        <v>22</v>
      </c>
      <c r="K86" s="27">
        <f t="shared" ref="K86:K154" si="3">L86+M86</f>
        <v>5061.8599999999997</v>
      </c>
      <c r="L86" s="27">
        <f>5061.86</f>
        <v>5061.8599999999997</v>
      </c>
      <c r="M86" s="27"/>
      <c r="N86" s="1">
        <v>11</v>
      </c>
      <c r="O86" s="27">
        <f t="shared" si="1"/>
        <v>15997.900000000001</v>
      </c>
      <c r="P86" s="27">
        <f>1369.13+3431.04+7740.64+2536.47+920.62</f>
        <v>15997.900000000001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7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3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3</v>
      </c>
      <c r="J92" s="26">
        <v>3</v>
      </c>
      <c r="K92" s="27">
        <f t="shared" si="3"/>
        <v>0</v>
      </c>
      <c r="L92" s="27"/>
      <c r="M92" s="27"/>
      <c r="N92" s="2">
        <v>17</v>
      </c>
      <c r="O92" s="27">
        <f t="shared" si="1"/>
        <v>0</v>
      </c>
      <c r="P92" s="27"/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19</v>
      </c>
      <c r="I101" s="1">
        <v>10</v>
      </c>
      <c r="J101" s="26">
        <v>10</v>
      </c>
      <c r="K101" s="27">
        <f t="shared" si="3"/>
        <v>0</v>
      </c>
      <c r="L101" s="27"/>
      <c r="M101" s="27"/>
      <c r="N101" s="1">
        <v>9</v>
      </c>
      <c r="O101" s="27">
        <f t="shared" si="4"/>
        <v>12594.32</v>
      </c>
      <c r="P101" s="27">
        <f>8926.48+3667.84</f>
        <v>12594.32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11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12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13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15</v>
      </c>
      <c r="I105" s="1">
        <v>11</v>
      </c>
      <c r="J105" s="26">
        <v>12</v>
      </c>
      <c r="K105" s="27">
        <f t="shared" si="3"/>
        <v>977.91</v>
      </c>
      <c r="L105" s="27">
        <v>977.91</v>
      </c>
      <c r="M105" s="27"/>
      <c r="N105" s="1">
        <v>18</v>
      </c>
      <c r="O105" s="27">
        <f>P105+Q105</f>
        <v>67534.05</v>
      </c>
      <c r="P105" s="27">
        <f>7142.66+6007.6+11985.28+16853.32+13359.63+12185.56</f>
        <v>67534.05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13</v>
      </c>
      <c r="I106" s="1">
        <v>3</v>
      </c>
      <c r="J106" s="26">
        <v>3</v>
      </c>
      <c r="K106" s="27">
        <f t="shared" si="3"/>
        <v>0</v>
      </c>
      <c r="L106" s="27"/>
      <c r="M106" s="27"/>
      <c r="N106" s="1">
        <v>9</v>
      </c>
      <c r="O106" s="27">
        <f>P106+Q106</f>
        <v>5726.5</v>
      </c>
      <c r="P106" s="27">
        <v>5726.5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20</v>
      </c>
      <c r="I107" s="2">
        <v>2</v>
      </c>
      <c r="J107" s="26">
        <v>2</v>
      </c>
      <c r="K107" s="27">
        <f t="shared" si="3"/>
        <v>0</v>
      </c>
      <c r="L107" s="27"/>
      <c r="M107" s="27"/>
      <c r="N107" s="2">
        <v>26</v>
      </c>
      <c r="O107" s="27">
        <f>P107+Q107</f>
        <v>39612.51</v>
      </c>
      <c r="P107" s="35">
        <v>39612.51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/>
      <c r="J109" s="26"/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5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11</v>
      </c>
      <c r="I111" s="2">
        <v>7</v>
      </c>
      <c r="J111" s="26">
        <v>7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11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9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22</v>
      </c>
      <c r="I114" s="1">
        <v>19</v>
      </c>
      <c r="J114" s="26">
        <v>19</v>
      </c>
      <c r="K114" s="27">
        <f t="shared" si="3"/>
        <v>6292.32</v>
      </c>
      <c r="L114" s="27">
        <f>6292.32</f>
        <v>6292.32</v>
      </c>
      <c r="M114" s="27"/>
      <c r="N114" s="1">
        <v>9</v>
      </c>
      <c r="O114" s="27">
        <f t="shared" si="4"/>
        <v>19259.79</v>
      </c>
      <c r="P114" s="27">
        <f>3646.63+15405.61+207.55</f>
        <v>19259.79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21</v>
      </c>
      <c r="I118" s="1">
        <v>17</v>
      </c>
      <c r="J118" s="26">
        <v>18</v>
      </c>
      <c r="K118" s="27">
        <f t="shared" si="3"/>
        <v>868.67</v>
      </c>
      <c r="L118" s="27">
        <v>868.67</v>
      </c>
      <c r="M118" s="27"/>
      <c r="N118" s="1">
        <v>9</v>
      </c>
      <c r="O118" s="27">
        <f t="shared" si="4"/>
        <v>4753.6899999999996</v>
      </c>
      <c r="P118" s="27">
        <f>3333.95+1419.74</f>
        <v>4753.6899999999996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15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11</v>
      </c>
      <c r="I122" s="1"/>
      <c r="J122" s="26">
        <v>5</v>
      </c>
      <c r="K122" s="27">
        <f t="shared" si="3"/>
        <v>0</v>
      </c>
      <c r="L122" s="27"/>
      <c r="M122" s="27"/>
      <c r="N122" s="1">
        <v>5</v>
      </c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6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9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7736.87</v>
      </c>
      <c r="P124" s="27">
        <f>2479.17+3260.79+1996.91</f>
        <v>7736.87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2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18</v>
      </c>
      <c r="I126" s="1">
        <v>15</v>
      </c>
      <c r="J126" s="26">
        <v>15</v>
      </c>
      <c r="K126" s="27">
        <f t="shared" si="3"/>
        <v>2262.41</v>
      </c>
      <c r="L126" s="27">
        <f>2262.41</f>
        <v>2262.41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41</v>
      </c>
      <c r="I128" s="1">
        <v>34</v>
      </c>
      <c r="J128" s="26">
        <v>34</v>
      </c>
      <c r="K128" s="27">
        <f t="shared" si="3"/>
        <v>4622.62</v>
      </c>
      <c r="L128" s="27">
        <v>4622.62</v>
      </c>
      <c r="M128" s="27"/>
      <c r="N128" s="1">
        <v>11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9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18</v>
      </c>
      <c r="I130" s="1">
        <v>13</v>
      </c>
      <c r="J130" s="26">
        <v>13</v>
      </c>
      <c r="K130" s="27">
        <f t="shared" si="3"/>
        <v>1150.5899999999999</v>
      </c>
      <c r="L130" s="27">
        <f>1150.59</f>
        <v>1150.5899999999999</v>
      </c>
      <c r="M130" s="27"/>
      <c r="N130" s="1">
        <v>10</v>
      </c>
      <c r="O130" s="27">
        <f t="shared" si="4"/>
        <v>16350.84</v>
      </c>
      <c r="P130" s="27">
        <f>919.46+2791.44+2825.9+1143.1+4609.59+4061.35</f>
        <v>16350.84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20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18168.28</v>
      </c>
      <c r="P132" s="27">
        <f>6606.63+11561.65</f>
        <v>18168.28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4</v>
      </c>
      <c r="J133" s="26">
        <v>4</v>
      </c>
      <c r="K133" s="27">
        <f t="shared" si="3"/>
        <v>0</v>
      </c>
      <c r="L133" s="27"/>
      <c r="M133" s="27"/>
      <c r="N133" s="1">
        <v>10</v>
      </c>
      <c r="O133" s="27">
        <f t="shared" si="4"/>
        <v>3039.46</v>
      </c>
      <c r="P133" s="27">
        <v>3039.46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20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20511.48</v>
      </c>
      <c r="P134" s="27">
        <f>1359.87+2464.36+5364.57+11322.68</f>
        <v>20511.48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2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18</v>
      </c>
      <c r="I137" s="1"/>
      <c r="J137" s="26"/>
      <c r="K137" s="27">
        <f t="shared" si="3"/>
        <v>0</v>
      </c>
      <c r="L137" s="27"/>
      <c r="M137" s="27"/>
      <c r="N137" s="1">
        <v>3</v>
      </c>
      <c r="O137" s="27">
        <f t="shared" si="4"/>
        <v>4034.98</v>
      </c>
      <c r="P137" s="27">
        <v>4034.98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13</v>
      </c>
      <c r="I138" s="1">
        <v>8</v>
      </c>
      <c r="J138" s="26">
        <v>8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7</v>
      </c>
      <c r="I139" s="1"/>
      <c r="J139" s="26"/>
      <c r="K139" s="27">
        <f t="shared" si="3"/>
        <v>0</v>
      </c>
      <c r="L139" s="27"/>
      <c r="M139" s="27"/>
      <c r="N139" s="1">
        <v>5</v>
      </c>
      <c r="O139" s="27">
        <f t="shared" si="4"/>
        <v>2819.2</v>
      </c>
      <c r="P139" s="36">
        <v>2819.2</v>
      </c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10</v>
      </c>
      <c r="I140" s="1">
        <v>5</v>
      </c>
      <c r="J140" s="26">
        <v>5</v>
      </c>
      <c r="K140" s="27">
        <f t="shared" si="3"/>
        <v>0</v>
      </c>
      <c r="L140" s="27"/>
      <c r="M140" s="27"/>
      <c r="N140" s="1">
        <v>2</v>
      </c>
      <c r="O140" s="27">
        <f t="shared" si="4"/>
        <v>6296.65</v>
      </c>
      <c r="P140" s="27">
        <f>886.32+5410.33</f>
        <v>6296.65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10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8438.2199999999993</v>
      </c>
      <c r="P141" s="27">
        <f>8438.22</f>
        <v>8438.2199999999993</v>
      </c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0</v>
      </c>
      <c r="P142" s="27"/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6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8</v>
      </c>
      <c r="I146" s="1">
        <v>4</v>
      </c>
      <c r="J146" s="26">
        <v>5</v>
      </c>
      <c r="K146" s="27">
        <f t="shared" si="3"/>
        <v>1279.21</v>
      </c>
      <c r="L146" s="27">
        <v>1279.21</v>
      </c>
      <c r="M146" s="27"/>
      <c r="N146" s="1">
        <v>2</v>
      </c>
      <c r="O146" s="27">
        <f t="shared" si="4"/>
        <v>486.08</v>
      </c>
      <c r="P146" s="27">
        <v>486.08</v>
      </c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16</v>
      </c>
      <c r="I148" s="1">
        <v>1</v>
      </c>
      <c r="J148" s="26">
        <v>1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29</v>
      </c>
      <c r="I149" s="1">
        <v>21</v>
      </c>
      <c r="J149" s="26">
        <v>27</v>
      </c>
      <c r="K149" s="27">
        <f t="shared" si="3"/>
        <v>0</v>
      </c>
      <c r="L149" s="27"/>
      <c r="M149" s="27"/>
      <c r="N149" s="1">
        <v>9</v>
      </c>
      <c r="O149" s="27">
        <f t="shared" si="4"/>
        <v>5675.37</v>
      </c>
      <c r="P149" s="27">
        <v>5675.37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5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13</v>
      </c>
      <c r="I154" s="1">
        <v>1</v>
      </c>
      <c r="J154" s="26">
        <v>1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/>
      <c r="J155" s="26"/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0</v>
      </c>
      <c r="P155" s="27"/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5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13</v>
      </c>
      <c r="I157" s="1">
        <v>13</v>
      </c>
      <c r="J157" s="26">
        <v>14</v>
      </c>
      <c r="K157" s="27">
        <f t="shared" si="6"/>
        <v>4990.0600000000004</v>
      </c>
      <c r="L157" s="27">
        <f>4990.06</f>
        <v>4990.0600000000004</v>
      </c>
      <c r="M157" s="27"/>
      <c r="N157" s="1">
        <v>6</v>
      </c>
      <c r="O157" s="27">
        <f t="shared" si="4"/>
        <v>14301.02</v>
      </c>
      <c r="P157" s="27">
        <f>887.45+1225.31+5357.66+6830.6</f>
        <v>14301.02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7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5</v>
      </c>
      <c r="I165" s="40"/>
      <c r="J165" s="43"/>
      <c r="K165" s="39">
        <v>0</v>
      </c>
      <c r="L165" s="39"/>
      <c r="M165" s="39"/>
      <c r="N165" s="40"/>
      <c r="O165" s="39"/>
      <c r="P165" s="39"/>
      <c r="Q165" s="39"/>
      <c r="R165" s="31"/>
    </row>
    <row r="166" spans="1:1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13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9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31"/>
    </row>
    <row r="170" spans="1:1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8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18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8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12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31"/>
    </row>
    <row r="174" spans="1:1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6</v>
      </c>
      <c r="I174" s="1">
        <v>4</v>
      </c>
      <c r="J174" s="26">
        <v>4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3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18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18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31"/>
    </row>
    <row r="178" spans="1:1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18</v>
      </c>
      <c r="O178" s="27">
        <f t="shared" si="4"/>
        <v>1233.4000000000001</v>
      </c>
      <c r="P178" s="27">
        <v>1233.4000000000001</v>
      </c>
      <c r="Q178" s="27"/>
      <c r="R178" s="31"/>
    </row>
    <row r="179" spans="1:1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24</v>
      </c>
      <c r="I179" s="1">
        <v>19</v>
      </c>
      <c r="J179" s="26">
        <v>19</v>
      </c>
      <c r="K179" s="27">
        <f t="shared" si="6"/>
        <v>0</v>
      </c>
      <c r="L179" s="27"/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31"/>
    </row>
    <row r="180" spans="1:18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9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31"/>
    </row>
    <row r="181" spans="1:18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13026.67</v>
      </c>
      <c r="P181" s="27">
        <f>2891.29+9127.51+1007.87</f>
        <v>13026.67</v>
      </c>
      <c r="Q181" s="27"/>
      <c r="R181" s="31"/>
    </row>
    <row r="182" spans="1:1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37</v>
      </c>
      <c r="I182" s="1">
        <v>23</v>
      </c>
      <c r="J182" s="26">
        <v>23</v>
      </c>
      <c r="K182" s="27">
        <f t="shared" si="6"/>
        <v>2547.86</v>
      </c>
      <c r="L182" s="27">
        <v>2547.86</v>
      </c>
      <c r="M182" s="27"/>
      <c r="N182" s="1">
        <v>17</v>
      </c>
      <c r="O182" s="27">
        <f t="shared" si="4"/>
        <v>58371.320000000007</v>
      </c>
      <c r="P182" s="27">
        <f>8759.8+505.2+4743.98+1370.7+8567.35+22476.66+1292.01+10655.62</f>
        <v>58371.320000000007</v>
      </c>
      <c r="Q182" s="27"/>
      <c r="R182" s="31"/>
    </row>
    <row r="183" spans="1:18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21</v>
      </c>
      <c r="I183" s="1">
        <v>2</v>
      </c>
      <c r="J183" s="26">
        <v>2</v>
      </c>
      <c r="K183" s="27">
        <f t="shared" si="6"/>
        <v>0</v>
      </c>
      <c r="L183" s="27"/>
      <c r="M183" s="27"/>
      <c r="N183" s="1">
        <v>15</v>
      </c>
      <c r="O183" s="27">
        <f t="shared" si="4"/>
        <v>13395.22</v>
      </c>
      <c r="P183" s="27">
        <v>13395.22</v>
      </c>
      <c r="Q183" s="27"/>
      <c r="R183" s="31"/>
    </row>
    <row r="184" spans="1:1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31"/>
    </row>
    <row r="185" spans="1:1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31"/>
    </row>
    <row r="186" spans="1:1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31"/>
    </row>
    <row r="187" spans="1:1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18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14</v>
      </c>
      <c r="O187" s="27">
        <f t="shared" si="4"/>
        <v>26632.34</v>
      </c>
      <c r="P187" s="27">
        <v>26632.34</v>
      </c>
      <c r="Q187" s="27"/>
      <c r="R187" s="31"/>
    </row>
    <row r="188" spans="1:1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7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31"/>
    </row>
    <row r="189" spans="1:1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9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9867.2000000000007</v>
      </c>
      <c r="P189" s="27">
        <v>9867.2000000000007</v>
      </c>
      <c r="Q189" s="27"/>
      <c r="R189" s="31"/>
    </row>
    <row r="190" spans="1:1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19</v>
      </c>
      <c r="I190" s="2">
        <v>15</v>
      </c>
      <c r="J190" s="26">
        <v>15</v>
      </c>
      <c r="K190" s="27"/>
      <c r="L190" s="27"/>
      <c r="M190" s="27"/>
      <c r="N190" s="2"/>
      <c r="O190" s="27"/>
      <c r="P190" s="27"/>
      <c r="Q190" s="27"/>
      <c r="R190" s="31"/>
    </row>
    <row r="191" spans="1:1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31"/>
    </row>
    <row r="192" spans="1:1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31"/>
    </row>
    <row r="193" spans="1:19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31"/>
    </row>
    <row r="194" spans="1:19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31"/>
    </row>
    <row r="195" spans="1:19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31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4</v>
      </c>
      <c r="O195" s="27">
        <f t="shared" si="7"/>
        <v>14077.71</v>
      </c>
      <c r="P195" s="27">
        <v>14077.71</v>
      </c>
      <c r="Q195" s="27"/>
      <c r="R195" s="31"/>
    </row>
    <row r="196" spans="1:19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31"/>
    </row>
    <row r="197" spans="1:19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20</v>
      </c>
      <c r="I197" s="1">
        <v>9</v>
      </c>
      <c r="J197" s="44">
        <v>9</v>
      </c>
      <c r="K197" s="27">
        <f t="shared" si="6"/>
        <v>0</v>
      </c>
      <c r="L197" s="27"/>
      <c r="M197" s="27"/>
      <c r="N197" s="1">
        <v>23</v>
      </c>
      <c r="O197" s="27">
        <f t="shared" si="7"/>
        <v>8691.5400000000009</v>
      </c>
      <c r="P197" s="27">
        <f>2707.13+2929.33+825.14+2229.94</f>
        <v>8691.5400000000009</v>
      </c>
      <c r="Q197" s="27"/>
      <c r="R197" s="31"/>
    </row>
    <row r="198" spans="1:19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31"/>
    </row>
    <row r="199" spans="1:19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31"/>
    </row>
    <row r="200" spans="1:19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8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31"/>
    </row>
    <row r="201" spans="1:19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1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31"/>
    </row>
    <row r="202" spans="1:19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1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31"/>
    </row>
    <row r="203" spans="1:19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1662</v>
      </c>
      <c r="I203" s="88">
        <f>SUM(I10:I202)</f>
        <v>670</v>
      </c>
      <c r="J203" s="88">
        <f>SUM(J10:J202)</f>
        <v>705</v>
      </c>
      <c r="K203" s="90">
        <f>SUM(K10:K202)</f>
        <v>95686.24</v>
      </c>
      <c r="L203" s="90">
        <f t="shared" ref="L203:Q203" si="8">SUM(L10:L202)</f>
        <v>95686.24</v>
      </c>
      <c r="M203" s="88">
        <f t="shared" si="8"/>
        <v>0</v>
      </c>
      <c r="N203" s="88">
        <f t="shared" si="8"/>
        <v>830</v>
      </c>
      <c r="O203" s="90">
        <f>SUM(O10:O202)</f>
        <v>1160816.53</v>
      </c>
      <c r="P203" s="90">
        <f>SUM(P10:P202)</f>
        <v>1160816.53</v>
      </c>
      <c r="Q203" s="88">
        <f t="shared" si="8"/>
        <v>0</v>
      </c>
      <c r="R203" s="31"/>
    </row>
    <row r="204" spans="1:19" ht="15" customHeight="1">
      <c r="A204" s="24"/>
      <c r="B204" s="23"/>
      <c r="C204" s="24"/>
      <c r="D204" s="23"/>
      <c r="E204" s="23"/>
      <c r="F204" s="23"/>
      <c r="G204" s="23"/>
      <c r="H204" s="98"/>
      <c r="I204" s="98"/>
      <c r="J204" s="98"/>
      <c r="K204" s="98"/>
      <c r="L204" s="98"/>
      <c r="M204" s="98"/>
      <c r="N204" s="98"/>
      <c r="O204" s="98"/>
      <c r="P204" s="24"/>
      <c r="Q204" s="24"/>
      <c r="R204" s="31"/>
    </row>
    <row r="205" spans="1:19">
      <c r="R205" s="31"/>
    </row>
    <row r="206" spans="1:19">
      <c r="K206" s="31"/>
      <c r="L206" s="31"/>
      <c r="M206" s="31"/>
      <c r="N206" s="31"/>
      <c r="O206" s="31"/>
      <c r="Q206" s="31"/>
      <c r="S206" s="31"/>
    </row>
    <row r="207" spans="1:19">
      <c r="K207" s="31"/>
      <c r="L207" s="31"/>
      <c r="N207" s="31"/>
      <c r="O207" s="31"/>
    </row>
    <row r="208" spans="1:19">
      <c r="K208" s="31"/>
      <c r="L208" s="31"/>
      <c r="N208" s="31"/>
    </row>
    <row r="209" spans="11:12">
      <c r="K209" s="31"/>
      <c r="L209" s="31"/>
    </row>
    <row r="210" spans="11:12">
      <c r="K210" s="31"/>
      <c r="L210" s="31"/>
    </row>
    <row r="211" spans="11:12">
      <c r="L211" s="31"/>
    </row>
    <row r="218" spans="11:12">
      <c r="L218" s="31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R218"/>
  <sheetViews>
    <sheetView topLeftCell="A59" zoomScale="76" zoomScaleNormal="76" workbookViewId="0">
      <selection activeCell="I59" sqref="A7:Q203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18</v>
      </c>
      <c r="I11" s="1">
        <v>7</v>
      </c>
      <c r="J11" s="26">
        <v>7</v>
      </c>
      <c r="K11" s="27">
        <f t="shared" ref="K11:K85" si="2">L11+M11</f>
        <v>0</v>
      </c>
      <c r="L11" s="27"/>
      <c r="M11" s="27"/>
      <c r="N11" s="1">
        <v>14</v>
      </c>
      <c r="O11" s="27">
        <f t="shared" si="1"/>
        <v>18853.400000000001</v>
      </c>
      <c r="P11" s="27">
        <v>18853.400000000001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13</v>
      </c>
      <c r="I12" s="1">
        <v>4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14</v>
      </c>
      <c r="I14" s="1">
        <v>7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16</v>
      </c>
      <c r="I15" s="2">
        <v>12</v>
      </c>
      <c r="J15" s="26">
        <v>12</v>
      </c>
      <c r="K15" s="27">
        <f t="shared" si="2"/>
        <v>0</v>
      </c>
      <c r="L15" s="27"/>
      <c r="M15" s="27"/>
      <c r="N15" s="2">
        <v>11</v>
      </c>
      <c r="O15" s="27">
        <f t="shared" si="1"/>
        <v>11506</v>
      </c>
      <c r="P15" s="27">
        <v>11506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35</v>
      </c>
      <c r="I16" s="1">
        <v>27</v>
      </c>
      <c r="J16" s="26">
        <v>32</v>
      </c>
      <c r="K16" s="27">
        <f t="shared" si="2"/>
        <v>9157.43</v>
      </c>
      <c r="L16" s="27">
        <f>4556.63+4600.8</f>
        <v>9157.43</v>
      </c>
      <c r="M16" s="27"/>
      <c r="N16" s="1">
        <v>21</v>
      </c>
      <c r="O16" s="27">
        <f t="shared" si="1"/>
        <v>44307.460000000006</v>
      </c>
      <c r="P16" s="27">
        <f>9373.48+1765.32+2881.47+14555.74+1792.06+3628.8+10310.59</f>
        <v>44307.460000000006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30</v>
      </c>
      <c r="I20" s="1">
        <v>24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34542.03</v>
      </c>
      <c r="P20" s="27">
        <f>4072.37+2831.63+9295.25+1395.5+16947.28</f>
        <v>34542.03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11</v>
      </c>
      <c r="O22" s="27">
        <f t="shared" si="1"/>
        <v>3524</v>
      </c>
      <c r="P22" s="27">
        <v>3524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6214.38</v>
      </c>
      <c r="P23" s="27">
        <f>488+2791.37+2935.01</f>
        <v>6214.38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0</v>
      </c>
      <c r="L26" s="27"/>
      <c r="M26" s="27"/>
      <c r="N26" s="1">
        <v>3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18</v>
      </c>
      <c r="I29" s="1">
        <v>10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11735.84</v>
      </c>
      <c r="P29" s="27">
        <f>1585.49+7579.12+718.9+1852.33</f>
        <v>11735.84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15</v>
      </c>
      <c r="I32" s="1">
        <v>10</v>
      </c>
      <c r="J32" s="26">
        <v>12</v>
      </c>
      <c r="K32" s="27">
        <f t="shared" si="2"/>
        <v>1850.1</v>
      </c>
      <c r="L32" s="27">
        <v>1850.1</v>
      </c>
      <c r="M32" s="27"/>
      <c r="N32" s="1">
        <v>12</v>
      </c>
      <c r="O32" s="27">
        <f t="shared" si="1"/>
        <v>30484.04</v>
      </c>
      <c r="P32" s="27">
        <f>8353.67+11335.86+6709.68+4084.83</f>
        <v>30484.04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4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11</v>
      </c>
      <c r="I35" s="1"/>
      <c r="J35" s="26"/>
      <c r="K35" s="27">
        <f t="shared" si="2"/>
        <v>0</v>
      </c>
      <c r="L35" s="27"/>
      <c r="M35" s="27"/>
      <c r="N35" s="1">
        <v>6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12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14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5990.8</v>
      </c>
      <c r="P37" s="27">
        <v>5990.8</v>
      </c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14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12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1233.4000000000001</v>
      </c>
      <c r="P39" s="27">
        <v>1233.4000000000001</v>
      </c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7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5</v>
      </c>
      <c r="O40" s="27">
        <f t="shared" si="1"/>
        <v>3986.12</v>
      </c>
      <c r="P40" s="27">
        <f>1233.4+2752.72</f>
        <v>3986.12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9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19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7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7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6</v>
      </c>
      <c r="I47" s="1"/>
      <c r="J47" s="26"/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14</v>
      </c>
      <c r="I48" s="1">
        <v>10</v>
      </c>
      <c r="J48" s="26">
        <v>11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11</v>
      </c>
      <c r="J50" s="26">
        <v>11</v>
      </c>
      <c r="K50" s="27">
        <f t="shared" si="2"/>
        <v>0</v>
      </c>
      <c r="L50" s="27"/>
      <c r="M50" s="27"/>
      <c r="N50" s="1">
        <v>6</v>
      </c>
      <c r="O50" s="27">
        <f t="shared" si="1"/>
        <v>20395.21</v>
      </c>
      <c r="P50" s="27">
        <f>6837.93+3382.02+3633.83+6541.43</f>
        <v>20395.21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8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8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1233.4000000000001</v>
      </c>
      <c r="P54" s="27">
        <v>1233.4000000000001</v>
      </c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10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12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26</v>
      </c>
      <c r="I59" s="26">
        <v>12</v>
      </c>
      <c r="J59" s="26">
        <v>12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27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18808.77</v>
      </c>
      <c r="P61" s="27">
        <f>3558.78+6542.54+4585.89+4121.56</f>
        <v>18808.77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17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8</v>
      </c>
      <c r="J63" s="26">
        <v>8</v>
      </c>
      <c r="K63" s="27">
        <f t="shared" si="2"/>
        <v>0</v>
      </c>
      <c r="L63" s="27"/>
      <c r="M63" s="27"/>
      <c r="N63" s="1">
        <v>8</v>
      </c>
      <c r="O63" s="27">
        <f t="shared" si="1"/>
        <v>21556.080000000002</v>
      </c>
      <c r="P63" s="27">
        <f>3793.8+8092.08+9670.2</f>
        <v>21556.080000000002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2</v>
      </c>
      <c r="J64" s="26">
        <v>2</v>
      </c>
      <c r="K64" s="27">
        <f t="shared" si="2"/>
        <v>0</v>
      </c>
      <c r="L64" s="27"/>
      <c r="M64" s="27"/>
      <c r="N64" s="1">
        <v>9</v>
      </c>
      <c r="O64" s="27">
        <f t="shared" si="1"/>
        <v>6537.02</v>
      </c>
      <c r="P64" s="27">
        <v>6537.02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13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16110.59</v>
      </c>
      <c r="P66" s="27">
        <f>1353.94+9352.06+1852.4+3552.19</f>
        <v>16110.59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10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9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19</v>
      </c>
      <c r="I70" s="2">
        <v>7</v>
      </c>
      <c r="J70" s="26">
        <v>7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25</v>
      </c>
      <c r="I71" s="1">
        <v>17</v>
      </c>
      <c r="J71" s="26">
        <v>17</v>
      </c>
      <c r="K71" s="27">
        <f t="shared" si="2"/>
        <v>0</v>
      </c>
      <c r="L71" s="27"/>
      <c r="M71" s="27"/>
      <c r="N71" s="1">
        <v>17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23</v>
      </c>
      <c r="I73" s="1">
        <v>13</v>
      </c>
      <c r="J73" s="26">
        <v>13</v>
      </c>
      <c r="K73" s="27">
        <f t="shared" si="2"/>
        <v>607.08000000000004</v>
      </c>
      <c r="L73" s="27">
        <f>607.08</f>
        <v>607.08000000000004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8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10426.64</v>
      </c>
      <c r="P75" s="27">
        <v>10426.64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6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12</v>
      </c>
      <c r="I77" s="1">
        <v>6</v>
      </c>
      <c r="J77" s="26">
        <v>6</v>
      </c>
      <c r="K77" s="27">
        <f t="shared" si="2"/>
        <v>4400.6000000000004</v>
      </c>
      <c r="L77" s="27">
        <v>4400.6000000000004</v>
      </c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11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7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4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42</v>
      </c>
      <c r="I83" s="1">
        <v>28</v>
      </c>
      <c r="J83" s="26">
        <v>28</v>
      </c>
      <c r="K83" s="27">
        <f t="shared" si="2"/>
        <v>0</v>
      </c>
      <c r="L83" s="27"/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28</v>
      </c>
      <c r="I86" s="1">
        <v>23</v>
      </c>
      <c r="J86" s="26">
        <v>24</v>
      </c>
      <c r="K86" s="27">
        <f t="shared" ref="K86:K154" si="3">L86+M86</f>
        <v>5061.8599999999997</v>
      </c>
      <c r="L86" s="27">
        <f>5061.86</f>
        <v>5061.8599999999997</v>
      </c>
      <c r="M86" s="27"/>
      <c r="N86" s="1">
        <v>11</v>
      </c>
      <c r="O86" s="27">
        <f t="shared" si="1"/>
        <v>15997.900000000001</v>
      </c>
      <c r="P86" s="27">
        <f>1369.13+3431.04+7740.64+2536.47+920.62</f>
        <v>15997.900000000001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7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3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4</v>
      </c>
      <c r="J92" s="26">
        <v>4</v>
      </c>
      <c r="K92" s="27">
        <f t="shared" si="3"/>
        <v>0</v>
      </c>
      <c r="L92" s="27"/>
      <c r="M92" s="27"/>
      <c r="N92" s="2">
        <v>17</v>
      </c>
      <c r="O92" s="27">
        <f t="shared" si="1"/>
        <v>1233.4000000000001</v>
      </c>
      <c r="P92" s="27">
        <v>1233.4000000000001</v>
      </c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1</v>
      </c>
      <c r="O93" s="27">
        <f t="shared" ref="O93:O192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19</v>
      </c>
      <c r="I101" s="1">
        <v>12</v>
      </c>
      <c r="J101" s="26">
        <v>12</v>
      </c>
      <c r="K101" s="27">
        <f t="shared" si="3"/>
        <v>0</v>
      </c>
      <c r="L101" s="27"/>
      <c r="M101" s="27"/>
      <c r="N101" s="1">
        <v>10</v>
      </c>
      <c r="O101" s="27">
        <f t="shared" si="4"/>
        <v>21696.59</v>
      </c>
      <c r="P101" s="27">
        <f>8926.48+3667.84+9102.27</f>
        <v>21696.59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12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12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13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15</v>
      </c>
      <c r="I105" s="1">
        <v>11</v>
      </c>
      <c r="J105" s="26">
        <v>12</v>
      </c>
      <c r="K105" s="27">
        <f t="shared" si="3"/>
        <v>977.91</v>
      </c>
      <c r="L105" s="27">
        <v>977.91</v>
      </c>
      <c r="M105" s="27"/>
      <c r="N105" s="1">
        <v>18</v>
      </c>
      <c r="O105" s="27">
        <f>P105+Q105</f>
        <v>67534.05</v>
      </c>
      <c r="P105" s="27">
        <f>7142.66+6007.6+11985.28+16853.32+13359.63+12185.56</f>
        <v>67534.05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14</v>
      </c>
      <c r="I106" s="1">
        <v>3</v>
      </c>
      <c r="J106" s="26">
        <v>3</v>
      </c>
      <c r="K106" s="27">
        <f t="shared" si="3"/>
        <v>0</v>
      </c>
      <c r="L106" s="27"/>
      <c r="M106" s="27"/>
      <c r="N106" s="1">
        <v>9</v>
      </c>
      <c r="O106" s="27">
        <f>P106+Q106</f>
        <v>5726.5</v>
      </c>
      <c r="P106" s="27">
        <v>5726.5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22</v>
      </c>
      <c r="I107" s="2">
        <v>2</v>
      </c>
      <c r="J107" s="26">
        <v>2</v>
      </c>
      <c r="K107" s="27">
        <f t="shared" si="3"/>
        <v>0</v>
      </c>
      <c r="L107" s="27"/>
      <c r="M107" s="27"/>
      <c r="N107" s="2">
        <v>26</v>
      </c>
      <c r="O107" s="27">
        <f>P107+Q107</f>
        <v>39612.51</v>
      </c>
      <c r="P107" s="35">
        <v>39612.51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/>
      <c r="J109" s="26"/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5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2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14</v>
      </c>
      <c r="I111" s="2">
        <v>7</v>
      </c>
      <c r="J111" s="26">
        <v>7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11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9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22</v>
      </c>
      <c r="I114" s="1">
        <v>19</v>
      </c>
      <c r="J114" s="26">
        <v>19</v>
      </c>
      <c r="K114" s="27">
        <f t="shared" si="3"/>
        <v>6292.32</v>
      </c>
      <c r="L114" s="27">
        <f>6292.32</f>
        <v>6292.32</v>
      </c>
      <c r="M114" s="27"/>
      <c r="N114" s="1">
        <v>9</v>
      </c>
      <c r="O114" s="27">
        <f t="shared" si="4"/>
        <v>23911.47</v>
      </c>
      <c r="P114" s="27">
        <f>3646.63+15405.61+207.55+4651.68</f>
        <v>23911.47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21</v>
      </c>
      <c r="I118" s="1">
        <v>17</v>
      </c>
      <c r="J118" s="26">
        <v>18</v>
      </c>
      <c r="K118" s="27">
        <f t="shared" si="3"/>
        <v>868.67</v>
      </c>
      <c r="L118" s="27">
        <v>868.67</v>
      </c>
      <c r="M118" s="27"/>
      <c r="N118" s="1">
        <v>9</v>
      </c>
      <c r="O118" s="27">
        <f t="shared" si="4"/>
        <v>20054.02</v>
      </c>
      <c r="P118" s="27">
        <f>3333.95+1419.74+6665.65+8634.68</f>
        <v>20054.02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15</v>
      </c>
      <c r="I120" s="1">
        <v>2</v>
      </c>
      <c r="J120" s="26">
        <v>2</v>
      </c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15</v>
      </c>
      <c r="I122" s="1"/>
      <c r="J122" s="26">
        <v>5</v>
      </c>
      <c r="K122" s="27">
        <f t="shared" si="3"/>
        <v>0</v>
      </c>
      <c r="L122" s="27"/>
      <c r="M122" s="27"/>
      <c r="N122" s="1">
        <v>5</v>
      </c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6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10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7736.87</v>
      </c>
      <c r="P124" s="27">
        <f>2479.17+3260.79+1996.91</f>
        <v>7736.87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2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18</v>
      </c>
      <c r="I126" s="1">
        <v>15</v>
      </c>
      <c r="J126" s="26">
        <v>15</v>
      </c>
      <c r="K126" s="27">
        <f t="shared" si="3"/>
        <v>2262.41</v>
      </c>
      <c r="L126" s="27">
        <f>2262.41</f>
        <v>2262.41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41</v>
      </c>
      <c r="I128" s="1">
        <v>34</v>
      </c>
      <c r="J128" s="26">
        <v>34</v>
      </c>
      <c r="K128" s="27">
        <f t="shared" si="3"/>
        <v>4622.62</v>
      </c>
      <c r="L128" s="27">
        <v>4622.62</v>
      </c>
      <c r="M128" s="27"/>
      <c r="N128" s="1">
        <v>11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9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20</v>
      </c>
      <c r="I130" s="1">
        <v>16</v>
      </c>
      <c r="J130" s="26">
        <v>18</v>
      </c>
      <c r="K130" s="27">
        <f t="shared" si="3"/>
        <v>1150.5899999999999</v>
      </c>
      <c r="L130" s="27">
        <f>1150.59</f>
        <v>1150.5899999999999</v>
      </c>
      <c r="M130" s="27"/>
      <c r="N130" s="1">
        <v>10</v>
      </c>
      <c r="O130" s="27">
        <f t="shared" si="4"/>
        <v>16350.84</v>
      </c>
      <c r="P130" s="27">
        <f>919.46+2791.44+2825.9+1143.1+4609.59+4061.35</f>
        <v>16350.84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20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23205.66</v>
      </c>
      <c r="P132" s="27">
        <f>6606.63+11561.65+5037.38</f>
        <v>23205.66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31</v>
      </c>
      <c r="I133" s="1">
        <v>4</v>
      </c>
      <c r="J133" s="26">
        <v>4</v>
      </c>
      <c r="K133" s="27">
        <f t="shared" si="3"/>
        <v>0</v>
      </c>
      <c r="L133" s="27"/>
      <c r="M133" s="27"/>
      <c r="N133" s="1">
        <v>10</v>
      </c>
      <c r="O133" s="27">
        <f t="shared" si="4"/>
        <v>3039.46</v>
      </c>
      <c r="P133" s="27">
        <v>3039.46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20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20511.48</v>
      </c>
      <c r="P134" s="27">
        <f>1359.87+2464.36+5364.57+11322.68</f>
        <v>20511.48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3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22</v>
      </c>
      <c r="I137" s="1">
        <v>3</v>
      </c>
      <c r="J137" s="26">
        <v>3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13</v>
      </c>
      <c r="I138" s="1">
        <v>9</v>
      </c>
      <c r="J138" s="26">
        <v>9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9</v>
      </c>
      <c r="I139" s="1"/>
      <c r="J139" s="26"/>
      <c r="K139" s="27">
        <f t="shared" si="3"/>
        <v>0</v>
      </c>
      <c r="L139" s="27"/>
      <c r="M139" s="27"/>
      <c r="N139" s="1">
        <v>6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10</v>
      </c>
      <c r="I140" s="1">
        <v>6</v>
      </c>
      <c r="J140" s="26">
        <v>6</v>
      </c>
      <c r="K140" s="27">
        <f t="shared" si="3"/>
        <v>0</v>
      </c>
      <c r="L140" s="27"/>
      <c r="M140" s="27"/>
      <c r="N140" s="1">
        <v>4</v>
      </c>
      <c r="O140" s="27">
        <f t="shared" si="4"/>
        <v>6296.65</v>
      </c>
      <c r="P140" s="27">
        <f>886.32+5410.33</f>
        <v>6296.65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11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21863.360000000001</v>
      </c>
      <c r="P141" s="27">
        <f>8438.22+13425.14</f>
        <v>21863.360000000001</v>
      </c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0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7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8</v>
      </c>
      <c r="I146" s="1">
        <v>4</v>
      </c>
      <c r="J146" s="26">
        <v>5</v>
      </c>
      <c r="K146" s="27">
        <f t="shared" si="3"/>
        <v>1279.21</v>
      </c>
      <c r="L146" s="27">
        <v>1279.21</v>
      </c>
      <c r="M146" s="27"/>
      <c r="N146" s="1">
        <v>2</v>
      </c>
      <c r="O146" s="27">
        <f t="shared" si="4"/>
        <v>486.08</v>
      </c>
      <c r="P146" s="27">
        <v>486.08</v>
      </c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19</v>
      </c>
      <c r="I148" s="1">
        <v>2</v>
      </c>
      <c r="J148" s="26">
        <v>2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31</v>
      </c>
      <c r="I149" s="1">
        <v>23</v>
      </c>
      <c r="J149" s="26">
        <v>34</v>
      </c>
      <c r="K149" s="27">
        <f t="shared" si="3"/>
        <v>0</v>
      </c>
      <c r="L149" s="27"/>
      <c r="M149" s="27"/>
      <c r="N149" s="1">
        <v>9</v>
      </c>
      <c r="O149" s="27">
        <f t="shared" si="4"/>
        <v>5675.37</v>
      </c>
      <c r="P149" s="27">
        <v>5675.37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5</v>
      </c>
      <c r="I150" s="1">
        <v>1</v>
      </c>
      <c r="J150" s="26">
        <v>1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1</v>
      </c>
      <c r="J154" s="26">
        <v>1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/>
      <c r="J155" s="26"/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5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13</v>
      </c>
      <c r="I157" s="1">
        <v>13</v>
      </c>
      <c r="J157" s="26">
        <v>14</v>
      </c>
      <c r="K157" s="27">
        <f t="shared" si="6"/>
        <v>4990.0600000000004</v>
      </c>
      <c r="L157" s="27">
        <f>4990.06</f>
        <v>4990.0600000000004</v>
      </c>
      <c r="M157" s="27"/>
      <c r="N157" s="1">
        <v>6</v>
      </c>
      <c r="O157" s="27">
        <f t="shared" si="4"/>
        <v>14301.02</v>
      </c>
      <c r="P157" s="27">
        <f>887.45+1225.31+5357.66+6830.6</f>
        <v>14301.02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7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5</v>
      </c>
      <c r="I165" s="40">
        <v>3</v>
      </c>
      <c r="J165" s="43">
        <v>3</v>
      </c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13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9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8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9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13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6</v>
      </c>
      <c r="I174" s="1">
        <v>4</v>
      </c>
      <c r="J174" s="26">
        <v>4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3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18</v>
      </c>
      <c r="O178" s="27">
        <f t="shared" si="4"/>
        <v>4757.3999999999996</v>
      </c>
      <c r="P178" s="27">
        <v>4757.3999999999996</v>
      </c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25</v>
      </c>
      <c r="I179" s="1">
        <v>20</v>
      </c>
      <c r="J179" s="26">
        <v>20</v>
      </c>
      <c r="K179" s="27">
        <f t="shared" si="6"/>
        <v>0</v>
      </c>
      <c r="L179" s="27"/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9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1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13026.67</v>
      </c>
      <c r="P181" s="27">
        <f>2891.29+9127.51+1007.87</f>
        <v>13026.67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38</v>
      </c>
      <c r="I182" s="1">
        <v>30</v>
      </c>
      <c r="J182" s="26">
        <v>30</v>
      </c>
      <c r="K182" s="27">
        <f t="shared" si="6"/>
        <v>2547.86</v>
      </c>
      <c r="L182" s="27">
        <v>2547.86</v>
      </c>
      <c r="M182" s="27"/>
      <c r="N182" s="1">
        <v>17</v>
      </c>
      <c r="O182" s="27">
        <f t="shared" si="4"/>
        <v>63317.540000000008</v>
      </c>
      <c r="P182" s="27">
        <f>8759.8+505.2+4743.98+1370.7+8567.35+22476.66+1292.01+10655.62+4946.22</f>
        <v>63317.540000000008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21</v>
      </c>
      <c r="I183" s="1">
        <v>2</v>
      </c>
      <c r="J183" s="26">
        <v>2</v>
      </c>
      <c r="K183" s="27">
        <f t="shared" si="6"/>
        <v>0</v>
      </c>
      <c r="L183" s="27"/>
      <c r="M183" s="27"/>
      <c r="N183" s="1">
        <v>15</v>
      </c>
      <c r="O183" s="27">
        <f t="shared" si="4"/>
        <v>13395.22</v>
      </c>
      <c r="P183" s="27">
        <v>13395.22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20"/>
    </row>
    <row r="186" spans="1:3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20"/>
    </row>
    <row r="187" spans="1:3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19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14</v>
      </c>
      <c r="O187" s="27">
        <f t="shared" si="4"/>
        <v>39483.94</v>
      </c>
      <c r="P187" s="27">
        <v>39483.94</v>
      </c>
      <c r="Q187" s="27"/>
      <c r="R187" s="20"/>
    </row>
    <row r="188" spans="1:3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8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20"/>
    </row>
    <row r="189" spans="1:3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9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14800.8</v>
      </c>
      <c r="P189" s="27">
        <v>14800.8</v>
      </c>
      <c r="Q189" s="27"/>
      <c r="R189" s="20"/>
    </row>
    <row r="190" spans="1:3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20</v>
      </c>
      <c r="I190" s="2">
        <v>15</v>
      </c>
      <c r="J190" s="26">
        <v>16</v>
      </c>
      <c r="K190" s="27"/>
      <c r="L190" s="27"/>
      <c r="M190" s="27"/>
      <c r="N190" s="2"/>
      <c r="O190" s="27"/>
      <c r="P190" s="27"/>
      <c r="Q190" s="27"/>
      <c r="R190" s="20"/>
    </row>
    <row r="191" spans="1:3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20"/>
    </row>
    <row r="194" spans="1:44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20"/>
    </row>
    <row r="195" spans="1:44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32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4</v>
      </c>
      <c r="O195" s="27">
        <f t="shared" si="7"/>
        <v>14077.71</v>
      </c>
      <c r="P195" s="27">
        <v>14077.71</v>
      </c>
      <c r="Q195" s="27"/>
      <c r="R195" s="20"/>
    </row>
    <row r="196" spans="1:44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20"/>
    </row>
    <row r="197" spans="1:44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21</v>
      </c>
      <c r="I197" s="1">
        <v>9</v>
      </c>
      <c r="J197" s="44">
        <v>9</v>
      </c>
      <c r="K197" s="27">
        <f t="shared" si="6"/>
        <v>0</v>
      </c>
      <c r="L197" s="27"/>
      <c r="M197" s="27"/>
      <c r="N197" s="1">
        <v>23</v>
      </c>
      <c r="O197" s="27">
        <f t="shared" si="7"/>
        <v>8691.5400000000009</v>
      </c>
      <c r="P197" s="27">
        <f>2707.13+2929.33+825.14+2229.94</f>
        <v>8691.5400000000009</v>
      </c>
      <c r="Q197" s="27"/>
      <c r="R197" s="20"/>
    </row>
    <row r="198" spans="1:44" s="7" customFormat="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20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44" s="14" customFormat="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8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1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20"/>
      <c r="AM201" s="4"/>
      <c r="AN201" s="4"/>
      <c r="AO201" s="4"/>
      <c r="AP201" s="4"/>
      <c r="AQ201" s="4"/>
      <c r="AR201" s="4"/>
    </row>
    <row r="202" spans="1:44" s="14" customFormat="1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1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20"/>
      <c r="AM202" s="4"/>
      <c r="AN202" s="4"/>
      <c r="AO202" s="4"/>
      <c r="AP202" s="4"/>
      <c r="AQ202" s="4"/>
      <c r="AR202" s="4"/>
    </row>
    <row r="203" spans="1:44" s="14" customFormat="1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1741</v>
      </c>
      <c r="I203" s="88">
        <f>SUM(I10:I202)</f>
        <v>720</v>
      </c>
      <c r="J203" s="88">
        <f>SUM(J10:J202)</f>
        <v>763</v>
      </c>
      <c r="K203" s="90">
        <f>SUM(K10:K202)</f>
        <v>106537.74000000002</v>
      </c>
      <c r="L203" s="90">
        <f t="shared" ref="L203:Q203" si="8">SUM(L10:L202)</f>
        <v>106537.74000000002</v>
      </c>
      <c r="M203" s="88">
        <f t="shared" si="8"/>
        <v>0</v>
      </c>
      <c r="N203" s="88">
        <f t="shared" si="8"/>
        <v>853</v>
      </c>
      <c r="O203" s="90">
        <f>SUM(O10:O202)</f>
        <v>1286298.81</v>
      </c>
      <c r="P203" s="90">
        <f>SUM(P10:P202)</f>
        <v>1286298.81</v>
      </c>
      <c r="Q203" s="88">
        <f t="shared" si="8"/>
        <v>0</v>
      </c>
      <c r="R203" s="20"/>
      <c r="AM203" s="4"/>
      <c r="AN203" s="4"/>
      <c r="AO203" s="4"/>
      <c r="AP203" s="4"/>
      <c r="AQ203" s="4"/>
      <c r="AR203" s="4"/>
    </row>
    <row r="204" spans="1:44" s="14" customFormat="1" ht="15" customHeight="1">
      <c r="A204" s="5"/>
      <c r="B204" s="6"/>
      <c r="C204" s="5"/>
      <c r="D204" s="6"/>
      <c r="E204" s="6"/>
      <c r="F204" s="6"/>
      <c r="G204" s="6"/>
      <c r="H204" s="9"/>
      <c r="I204" s="9"/>
      <c r="J204" s="9"/>
      <c r="K204" s="9"/>
      <c r="L204" s="9"/>
      <c r="M204" s="11"/>
      <c r="N204" s="9"/>
      <c r="O204" s="9"/>
      <c r="P204" s="5"/>
      <c r="Q204" s="13"/>
      <c r="R204" s="20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12"/>
      <c r="N205" s="4"/>
      <c r="O205" s="4"/>
      <c r="P205" s="4"/>
      <c r="Q205" s="12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9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15"/>
      <c r="O207" s="15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15"/>
      <c r="O208" s="4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15"/>
      <c r="M211" s="12"/>
      <c r="N211" s="4"/>
      <c r="O211" s="4"/>
      <c r="P211" s="4"/>
      <c r="Q211" s="12"/>
      <c r="AM211" s="4"/>
      <c r="AN211" s="4"/>
      <c r="AO211" s="4"/>
      <c r="AP211" s="4"/>
      <c r="AQ211" s="4"/>
      <c r="AR211" s="4"/>
    </row>
    <row r="218" spans="1:44" s="12" customForma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15"/>
      <c r="N218" s="4"/>
      <c r="O218" s="4"/>
      <c r="P218" s="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4"/>
      <c r="AN218" s="4"/>
      <c r="AO218" s="4"/>
      <c r="AP218" s="4"/>
      <c r="AQ218" s="4"/>
      <c r="AR218" s="4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R218"/>
  <sheetViews>
    <sheetView topLeftCell="A112" zoomScale="76" zoomScaleNormal="76" workbookViewId="0">
      <selection activeCell="L161" sqref="L161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18</v>
      </c>
      <c r="I11" s="1">
        <v>7</v>
      </c>
      <c r="J11" s="26">
        <v>7</v>
      </c>
      <c r="K11" s="27">
        <f t="shared" ref="K11:K85" si="2">L11+M11</f>
        <v>0</v>
      </c>
      <c r="L11" s="27"/>
      <c r="M11" s="27"/>
      <c r="N11" s="1">
        <v>15</v>
      </c>
      <c r="O11" s="27">
        <f t="shared" si="1"/>
        <v>18853.400000000001</v>
      </c>
      <c r="P11" s="27">
        <v>18853.400000000001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14</v>
      </c>
      <c r="I12" s="1">
        <v>4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15</v>
      </c>
      <c r="I14" s="1">
        <v>7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12</v>
      </c>
      <c r="J15" s="26">
        <v>12</v>
      </c>
      <c r="K15" s="27">
        <f t="shared" si="2"/>
        <v>0</v>
      </c>
      <c r="L15" s="27"/>
      <c r="M15" s="27"/>
      <c r="N15" s="2">
        <v>11</v>
      </c>
      <c r="O15" s="27">
        <f t="shared" si="1"/>
        <v>11506</v>
      </c>
      <c r="P15" s="27">
        <v>11506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38</v>
      </c>
      <c r="I16" s="1">
        <v>27</v>
      </c>
      <c r="J16" s="26">
        <v>32</v>
      </c>
      <c r="K16" s="27">
        <f t="shared" si="2"/>
        <v>9157.43</v>
      </c>
      <c r="L16" s="27">
        <f>4556.63+4600.8</f>
        <v>9157.43</v>
      </c>
      <c r="M16" s="27"/>
      <c r="N16" s="1">
        <v>21</v>
      </c>
      <c r="O16" s="27">
        <f t="shared" si="1"/>
        <v>44307.460000000006</v>
      </c>
      <c r="P16" s="27">
        <f>9373.48+1765.32+2881.47+14555.74+1792.06+3628.8+10310.59</f>
        <v>44307.460000000006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33</v>
      </c>
      <c r="I20" s="1">
        <v>24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34542.03</v>
      </c>
      <c r="P20" s="27">
        <f>4072.37+2831.63+9295.25+1395.5+16947.28</f>
        <v>34542.03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11</v>
      </c>
      <c r="O22" s="27">
        <f t="shared" si="1"/>
        <v>8281.4</v>
      </c>
      <c r="P22" s="27">
        <v>8281.4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6214.38</v>
      </c>
      <c r="P23" s="27">
        <f>488+2791.37+2935.01</f>
        <v>6214.38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0</v>
      </c>
      <c r="L26" s="27"/>
      <c r="M26" s="27"/>
      <c r="N26" s="1">
        <v>3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18</v>
      </c>
      <c r="I29" s="1">
        <v>10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11735.84</v>
      </c>
      <c r="P29" s="27">
        <f>1585.49+7579.12+718.9+1852.33</f>
        <v>11735.84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15</v>
      </c>
      <c r="I32" s="1">
        <v>10</v>
      </c>
      <c r="J32" s="26">
        <v>12</v>
      </c>
      <c r="K32" s="27">
        <f t="shared" si="2"/>
        <v>1850.1</v>
      </c>
      <c r="L32" s="27">
        <v>1850.1</v>
      </c>
      <c r="M32" s="27"/>
      <c r="N32" s="1">
        <v>12</v>
      </c>
      <c r="O32" s="27">
        <f t="shared" si="1"/>
        <v>30484.04</v>
      </c>
      <c r="P32" s="27">
        <f>8353.67+11335.86+6709.68+4084.83</f>
        <v>30484.04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4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11</v>
      </c>
      <c r="I35" s="1"/>
      <c r="J35" s="26"/>
      <c r="K35" s="27">
        <f t="shared" si="2"/>
        <v>0</v>
      </c>
      <c r="L35" s="27"/>
      <c r="M35" s="27"/>
      <c r="N35" s="1">
        <v>6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12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14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5990.8</v>
      </c>
      <c r="P37" s="27">
        <v>5990.8</v>
      </c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14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12</v>
      </c>
      <c r="I39" s="2">
        <v>1</v>
      </c>
      <c r="J39" s="26">
        <v>1</v>
      </c>
      <c r="K39" s="27">
        <f t="shared" si="2"/>
        <v>0</v>
      </c>
      <c r="L39" s="27"/>
      <c r="M39" s="27"/>
      <c r="N39" s="2">
        <v>8</v>
      </c>
      <c r="O39" s="27">
        <f t="shared" si="1"/>
        <v>1233.4000000000001</v>
      </c>
      <c r="P39" s="27">
        <v>1233.4000000000001</v>
      </c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7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5</v>
      </c>
      <c r="O40" s="27">
        <f t="shared" si="1"/>
        <v>3986.12</v>
      </c>
      <c r="P40" s="27">
        <f>1233.4+2752.72</f>
        <v>3986.12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10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20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8</v>
      </c>
      <c r="I45" s="1"/>
      <c r="J45" s="26"/>
      <c r="K45" s="27">
        <f t="shared" si="2"/>
        <v>0</v>
      </c>
      <c r="L45" s="27"/>
      <c r="M45" s="27"/>
      <c r="N45" s="1">
        <v>4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7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6</v>
      </c>
      <c r="I47" s="1"/>
      <c r="J47" s="26"/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15</v>
      </c>
      <c r="I48" s="1">
        <v>11</v>
      </c>
      <c r="J48" s="26">
        <v>12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12</v>
      </c>
      <c r="J50" s="26">
        <v>12</v>
      </c>
      <c r="K50" s="27">
        <f t="shared" si="2"/>
        <v>0</v>
      </c>
      <c r="L50" s="27"/>
      <c r="M50" s="27"/>
      <c r="N50" s="1">
        <v>7</v>
      </c>
      <c r="O50" s="27">
        <f t="shared" si="1"/>
        <v>20395.21</v>
      </c>
      <c r="P50" s="27">
        <f>6837.93+3382.02+3633.83+6541.43</f>
        <v>20395.21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9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9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1233.4000000000001</v>
      </c>
      <c r="P54" s="27">
        <v>1233.4000000000001</v>
      </c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0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10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13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28</v>
      </c>
      <c r="I59" s="26">
        <v>15</v>
      </c>
      <c r="J59" s="26">
        <v>15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28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16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18808.77</v>
      </c>
      <c r="P61" s="27">
        <f>3558.78+6542.54+4585.89+4121.56</f>
        <v>18808.77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17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10</v>
      </c>
      <c r="J63" s="26">
        <v>11</v>
      </c>
      <c r="K63" s="27">
        <f t="shared" si="2"/>
        <v>0</v>
      </c>
      <c r="L63" s="27"/>
      <c r="M63" s="27"/>
      <c r="N63" s="1">
        <v>13</v>
      </c>
      <c r="O63" s="27">
        <f t="shared" si="1"/>
        <v>21556.080000000002</v>
      </c>
      <c r="P63" s="27">
        <f>3793.8+8092.08+9670.2</f>
        <v>21556.080000000002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7</v>
      </c>
      <c r="J64" s="26">
        <v>7</v>
      </c>
      <c r="K64" s="27">
        <f t="shared" si="2"/>
        <v>0</v>
      </c>
      <c r="L64" s="27"/>
      <c r="M64" s="27"/>
      <c r="N64" s="1">
        <v>17</v>
      </c>
      <c r="O64" s="27">
        <f t="shared" si="1"/>
        <v>6537.02</v>
      </c>
      <c r="P64" s="27">
        <v>6537.02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14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3405.96</v>
      </c>
      <c r="P65" s="27">
        <f>1487.48+1918.48</f>
        <v>3405.96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16110.59</v>
      </c>
      <c r="P66" s="27">
        <f>1353.94+9352.06+1852.4+3552.19</f>
        <v>16110.59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10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9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20</v>
      </c>
      <c r="I70" s="2">
        <v>10</v>
      </c>
      <c r="J70" s="26">
        <v>10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28</v>
      </c>
      <c r="I71" s="1">
        <v>17</v>
      </c>
      <c r="J71" s="26">
        <v>17</v>
      </c>
      <c r="K71" s="27">
        <f t="shared" si="2"/>
        <v>0</v>
      </c>
      <c r="L71" s="27"/>
      <c r="M71" s="27"/>
      <c r="N71" s="1">
        <v>17</v>
      </c>
      <c r="O71" s="27">
        <f t="shared" si="1"/>
        <v>64348.009999999995</v>
      </c>
      <c r="P71" s="27">
        <f>8536.41+1900.55+1810.72+5409.65+1602.49+6411.71+6033.69+27487.21+5155.58</f>
        <v>64348.009999999995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24</v>
      </c>
      <c r="I73" s="1">
        <v>13</v>
      </c>
      <c r="J73" s="26">
        <v>13</v>
      </c>
      <c r="K73" s="27">
        <f t="shared" si="2"/>
        <v>607.08000000000004</v>
      </c>
      <c r="L73" s="27">
        <f>607.08</f>
        <v>607.08000000000004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9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10426.64</v>
      </c>
      <c r="P75" s="27">
        <v>10426.64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3</v>
      </c>
      <c r="I76" s="1">
        <v>1</v>
      </c>
      <c r="J76" s="26">
        <v>1</v>
      </c>
      <c r="K76" s="27">
        <f t="shared" si="2"/>
        <v>0</v>
      </c>
      <c r="L76" s="27"/>
      <c r="M76" s="27"/>
      <c r="N76" s="1">
        <v>8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13</v>
      </c>
      <c r="I77" s="1">
        <v>6</v>
      </c>
      <c r="J77" s="26">
        <v>6</v>
      </c>
      <c r="K77" s="27">
        <f t="shared" si="2"/>
        <v>4400.6000000000004</v>
      </c>
      <c r="L77" s="27">
        <v>4400.6000000000004</v>
      </c>
      <c r="M77" s="27"/>
      <c r="N77" s="1">
        <v>16</v>
      </c>
      <c r="O77" s="27">
        <f t="shared" si="1"/>
        <v>18864.05</v>
      </c>
      <c r="P77" s="27">
        <f>5457.7+9775.17+3631.18</f>
        <v>18864.05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11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7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5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48</v>
      </c>
      <c r="I83" s="1">
        <v>28</v>
      </c>
      <c r="J83" s="26">
        <v>28</v>
      </c>
      <c r="K83" s="27">
        <f t="shared" si="2"/>
        <v>0</v>
      </c>
      <c r="L83" s="27"/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30</v>
      </c>
      <c r="I86" s="1">
        <v>24</v>
      </c>
      <c r="J86" s="26">
        <v>25</v>
      </c>
      <c r="K86" s="27">
        <f t="shared" ref="K86:K154" si="3">L86+M86</f>
        <v>5061.8599999999997</v>
      </c>
      <c r="L86" s="27">
        <f>5061.86</f>
        <v>5061.8599999999997</v>
      </c>
      <c r="M86" s="27"/>
      <c r="N86" s="1">
        <v>11</v>
      </c>
      <c r="O86" s="27">
        <f t="shared" si="1"/>
        <v>15997.900000000001</v>
      </c>
      <c r="P86" s="27">
        <f>1369.13+3431.04+7740.64+2536.47+920.62</f>
        <v>15997.900000000001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8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3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4</v>
      </c>
      <c r="J92" s="26">
        <v>4</v>
      </c>
      <c r="K92" s="27">
        <f t="shared" si="3"/>
        <v>0</v>
      </c>
      <c r="L92" s="27"/>
      <c r="M92" s="27"/>
      <c r="N92" s="2">
        <v>17</v>
      </c>
      <c r="O92" s="27">
        <f t="shared" si="1"/>
        <v>1233.4000000000001</v>
      </c>
      <c r="P92" s="27">
        <v>1233.4000000000001</v>
      </c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2</v>
      </c>
      <c r="O93" s="27">
        <f t="shared" ref="O93:O192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8</v>
      </c>
      <c r="I95" s="1">
        <v>5</v>
      </c>
      <c r="J95" s="26">
        <v>5</v>
      </c>
      <c r="K95" s="27">
        <f t="shared" si="3"/>
        <v>0</v>
      </c>
      <c r="L95" s="27"/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0</v>
      </c>
      <c r="P96" s="27"/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20</v>
      </c>
      <c r="I101" s="1">
        <v>12</v>
      </c>
      <c r="J101" s="26">
        <v>12</v>
      </c>
      <c r="K101" s="27">
        <f t="shared" si="3"/>
        <v>0</v>
      </c>
      <c r="L101" s="27"/>
      <c r="M101" s="27"/>
      <c r="N101" s="1">
        <v>10</v>
      </c>
      <c r="O101" s="27">
        <f t="shared" si="4"/>
        <v>21696.59</v>
      </c>
      <c r="P101" s="27">
        <f>8926.48+3667.84+9102.27</f>
        <v>21696.59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12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12</v>
      </c>
      <c r="I103" s="1">
        <v>1</v>
      </c>
      <c r="J103" s="26">
        <v>1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13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15</v>
      </c>
      <c r="I105" s="1">
        <v>12</v>
      </c>
      <c r="J105" s="26">
        <v>14</v>
      </c>
      <c r="K105" s="27">
        <f t="shared" si="3"/>
        <v>977.91</v>
      </c>
      <c r="L105" s="27">
        <v>977.91</v>
      </c>
      <c r="M105" s="27"/>
      <c r="N105" s="1">
        <v>18</v>
      </c>
      <c r="O105" s="27">
        <f>P105+Q105</f>
        <v>67534.05</v>
      </c>
      <c r="P105" s="27">
        <f>7142.66+6007.6+11985.28+16853.32+13359.63+12185.56</f>
        <v>67534.05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15</v>
      </c>
      <c r="I106" s="1">
        <v>3</v>
      </c>
      <c r="J106" s="26">
        <v>3</v>
      </c>
      <c r="K106" s="27">
        <f t="shared" si="3"/>
        <v>0</v>
      </c>
      <c r="L106" s="27"/>
      <c r="M106" s="27"/>
      <c r="N106" s="1">
        <v>9</v>
      </c>
      <c r="O106" s="27">
        <f>P106+Q106</f>
        <v>5726.5</v>
      </c>
      <c r="P106" s="27">
        <v>5726.5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22</v>
      </c>
      <c r="I107" s="2">
        <v>2</v>
      </c>
      <c r="J107" s="26">
        <v>2</v>
      </c>
      <c r="K107" s="27">
        <f t="shared" si="3"/>
        <v>0</v>
      </c>
      <c r="L107" s="27"/>
      <c r="M107" s="27"/>
      <c r="N107" s="2">
        <v>26</v>
      </c>
      <c r="O107" s="27">
        <f>P107+Q107</f>
        <v>39612.51</v>
      </c>
      <c r="P107" s="35">
        <v>39612.51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/>
      <c r="J109" s="26"/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8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3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15</v>
      </c>
      <c r="I111" s="2">
        <v>9</v>
      </c>
      <c r="J111" s="26">
        <v>10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13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9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22</v>
      </c>
      <c r="I114" s="1">
        <v>19</v>
      </c>
      <c r="J114" s="26">
        <v>19</v>
      </c>
      <c r="K114" s="27">
        <f t="shared" si="3"/>
        <v>6292.32</v>
      </c>
      <c r="L114" s="27">
        <f>6292.32</f>
        <v>6292.32</v>
      </c>
      <c r="M114" s="27"/>
      <c r="N114" s="1">
        <v>9</v>
      </c>
      <c r="O114" s="27">
        <f t="shared" si="4"/>
        <v>23911.47</v>
      </c>
      <c r="P114" s="27">
        <f>3646.63+15405.61+207.55+4651.68</f>
        <v>23911.47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21</v>
      </c>
      <c r="I118" s="1">
        <v>17</v>
      </c>
      <c r="J118" s="26">
        <v>18</v>
      </c>
      <c r="K118" s="27">
        <f t="shared" si="3"/>
        <v>868.67</v>
      </c>
      <c r="L118" s="27">
        <v>868.67</v>
      </c>
      <c r="M118" s="27"/>
      <c r="N118" s="1">
        <v>9</v>
      </c>
      <c r="O118" s="27">
        <f t="shared" si="4"/>
        <v>20054.02</v>
      </c>
      <c r="P118" s="27">
        <f>3333.95+1419.74+6665.65+8634.68</f>
        <v>20054.02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16</v>
      </c>
      <c r="I120" s="1">
        <v>3</v>
      </c>
      <c r="J120" s="26">
        <v>3</v>
      </c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15</v>
      </c>
      <c r="I122" s="1">
        <v>5</v>
      </c>
      <c r="J122" s="26">
        <v>5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6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10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7736.87</v>
      </c>
      <c r="P124" s="27">
        <f>2479.17+3260.79+1996.91</f>
        <v>7736.87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3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19</v>
      </c>
      <c r="I126" s="1">
        <v>15</v>
      </c>
      <c r="J126" s="26">
        <v>15</v>
      </c>
      <c r="K126" s="27">
        <f t="shared" si="3"/>
        <v>2262.41</v>
      </c>
      <c r="L126" s="27">
        <f>2262.41</f>
        <v>2262.41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43</v>
      </c>
      <c r="I128" s="1">
        <v>39</v>
      </c>
      <c r="J128" s="26">
        <v>39</v>
      </c>
      <c r="K128" s="27">
        <f t="shared" si="3"/>
        <v>4622.62</v>
      </c>
      <c r="L128" s="27">
        <v>4622.62</v>
      </c>
      <c r="M128" s="27"/>
      <c r="N128" s="1">
        <v>13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10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20</v>
      </c>
      <c r="I130" s="1">
        <v>16</v>
      </c>
      <c r="J130" s="26">
        <v>18</v>
      </c>
      <c r="K130" s="27">
        <f t="shared" si="3"/>
        <v>1150.5899999999999</v>
      </c>
      <c r="L130" s="27">
        <f>1150.59</f>
        <v>1150.5899999999999</v>
      </c>
      <c r="M130" s="27"/>
      <c r="N130" s="1">
        <v>10</v>
      </c>
      <c r="O130" s="27">
        <f t="shared" si="4"/>
        <v>16350.84</v>
      </c>
      <c r="P130" s="27">
        <f>919.46+2791.44+2825.9+1143.1+4609.59+4061.35</f>
        <v>16350.84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21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23205.66</v>
      </c>
      <c r="P132" s="27">
        <f>6606.63+11561.65+5037.38</f>
        <v>23205.66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34</v>
      </c>
      <c r="I133" s="1">
        <v>4</v>
      </c>
      <c r="J133" s="26">
        <v>4</v>
      </c>
      <c r="K133" s="27">
        <f t="shared" si="3"/>
        <v>0</v>
      </c>
      <c r="L133" s="27"/>
      <c r="M133" s="27"/>
      <c r="N133" s="1">
        <v>10</v>
      </c>
      <c r="O133" s="27">
        <f t="shared" si="4"/>
        <v>3039.46</v>
      </c>
      <c r="P133" s="27">
        <v>3039.46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20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20511.48</v>
      </c>
      <c r="P134" s="27">
        <f>1359.87+2464.36+5364.57+11322.68</f>
        <v>20511.48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3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22</v>
      </c>
      <c r="I137" s="1">
        <v>3</v>
      </c>
      <c r="J137" s="26">
        <v>3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13</v>
      </c>
      <c r="I138" s="1">
        <v>9</v>
      </c>
      <c r="J138" s="26">
        <v>9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11</v>
      </c>
      <c r="I139" s="1"/>
      <c r="J139" s="26"/>
      <c r="K139" s="27">
        <f t="shared" si="3"/>
        <v>0</v>
      </c>
      <c r="L139" s="27"/>
      <c r="M139" s="27"/>
      <c r="N139" s="1">
        <v>6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10</v>
      </c>
      <c r="I140" s="1">
        <v>6</v>
      </c>
      <c r="J140" s="26">
        <v>6</v>
      </c>
      <c r="K140" s="27">
        <f t="shared" si="3"/>
        <v>0</v>
      </c>
      <c r="L140" s="27"/>
      <c r="M140" s="27"/>
      <c r="N140" s="1">
        <v>4</v>
      </c>
      <c r="O140" s="27">
        <f t="shared" si="4"/>
        <v>6296.65</v>
      </c>
      <c r="P140" s="27">
        <f>886.32+5410.33</f>
        <v>6296.65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11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21863.360000000001</v>
      </c>
      <c r="P141" s="27">
        <f>8438.22+13425.14</f>
        <v>21863.360000000001</v>
      </c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3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9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10</v>
      </c>
      <c r="I146" s="1">
        <v>4</v>
      </c>
      <c r="J146" s="26">
        <v>5</v>
      </c>
      <c r="K146" s="27">
        <f t="shared" si="3"/>
        <v>1279.21</v>
      </c>
      <c r="L146" s="27">
        <v>1279.21</v>
      </c>
      <c r="M146" s="27"/>
      <c r="N146" s="1">
        <v>2</v>
      </c>
      <c r="O146" s="27">
        <f t="shared" si="4"/>
        <v>486.08</v>
      </c>
      <c r="P146" s="27">
        <v>486.08</v>
      </c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19</v>
      </c>
      <c r="I148" s="1">
        <v>3</v>
      </c>
      <c r="J148" s="26">
        <v>3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31</v>
      </c>
      <c r="I149" s="1">
        <v>23</v>
      </c>
      <c r="J149" s="26">
        <v>34</v>
      </c>
      <c r="K149" s="27">
        <f t="shared" si="3"/>
        <v>0</v>
      </c>
      <c r="L149" s="27"/>
      <c r="M149" s="27"/>
      <c r="N149" s="1">
        <v>9</v>
      </c>
      <c r="O149" s="27">
        <f t="shared" si="4"/>
        <v>5675.37</v>
      </c>
      <c r="P149" s="27">
        <v>5675.37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6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3</v>
      </c>
      <c r="J154" s="26">
        <v>3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/>
      <c r="J155" s="26"/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5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13</v>
      </c>
      <c r="I157" s="1">
        <v>13</v>
      </c>
      <c r="J157" s="26">
        <v>14</v>
      </c>
      <c r="K157" s="27">
        <f t="shared" si="6"/>
        <v>4990.0600000000004</v>
      </c>
      <c r="L157" s="27">
        <f>4990.06</f>
        <v>4990.0600000000004</v>
      </c>
      <c r="M157" s="27"/>
      <c r="N157" s="1">
        <v>7</v>
      </c>
      <c r="O157" s="27">
        <f t="shared" si="4"/>
        <v>14301.02</v>
      </c>
      <c r="P157" s="27">
        <f>887.45+1225.31+5357.66+6830.6</f>
        <v>14301.02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2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7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12139.720000000001</v>
      </c>
      <c r="P163" s="27">
        <f>1061.97+8854.87+2222.88</f>
        <v>12139.720000000001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7</v>
      </c>
      <c r="I165" s="40">
        <v>3</v>
      </c>
      <c r="J165" s="43">
        <v>3</v>
      </c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14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10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3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10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9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9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13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16187.880000000001</v>
      </c>
      <c r="P173" s="27">
        <f>4712.69+2993.76+7569.59+911.84</f>
        <v>16187.880000000001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9</v>
      </c>
      <c r="I174" s="1">
        <v>5</v>
      </c>
      <c r="J174" s="26">
        <v>6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4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11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18</v>
      </c>
      <c r="O178" s="27">
        <f t="shared" si="4"/>
        <v>4757.3999999999996</v>
      </c>
      <c r="P178" s="27">
        <v>4757.3999999999996</v>
      </c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25</v>
      </c>
      <c r="I179" s="1">
        <v>20</v>
      </c>
      <c r="J179" s="26">
        <v>20</v>
      </c>
      <c r="K179" s="27">
        <f t="shared" si="6"/>
        <v>0</v>
      </c>
      <c r="L179" s="27"/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9</v>
      </c>
      <c r="I180" s="1"/>
      <c r="J180" s="26"/>
      <c r="K180" s="27">
        <f t="shared" si="6"/>
        <v>0</v>
      </c>
      <c r="L180" s="27"/>
      <c r="M180" s="27"/>
      <c r="N180" s="1">
        <v>4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3</v>
      </c>
      <c r="I181" s="1"/>
      <c r="J181" s="26"/>
      <c r="K181" s="27">
        <f t="shared" si="6"/>
        <v>0</v>
      </c>
      <c r="L181" s="27"/>
      <c r="M181" s="27"/>
      <c r="N181" s="1">
        <v>3</v>
      </c>
      <c r="O181" s="27">
        <f t="shared" si="4"/>
        <v>13026.67</v>
      </c>
      <c r="P181" s="27">
        <f>2891.29+9127.51+1007.87</f>
        <v>13026.67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40</v>
      </c>
      <c r="I182" s="1">
        <v>31</v>
      </c>
      <c r="J182" s="26">
        <v>31</v>
      </c>
      <c r="K182" s="27">
        <f t="shared" si="6"/>
        <v>2547.86</v>
      </c>
      <c r="L182" s="27">
        <v>2547.86</v>
      </c>
      <c r="M182" s="27"/>
      <c r="N182" s="1">
        <v>17</v>
      </c>
      <c r="O182" s="27">
        <f t="shared" si="4"/>
        <v>63317.540000000008</v>
      </c>
      <c r="P182" s="27">
        <f>8759.8+505.2+4743.98+1370.7+8567.35+22476.66+1292.01+10655.62+4946.22</f>
        <v>63317.540000000008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25</v>
      </c>
      <c r="I183" s="1">
        <v>2</v>
      </c>
      <c r="J183" s="26">
        <v>2</v>
      </c>
      <c r="K183" s="27">
        <f t="shared" si="6"/>
        <v>0</v>
      </c>
      <c r="L183" s="27"/>
      <c r="M183" s="27"/>
      <c r="N183" s="1">
        <v>15</v>
      </c>
      <c r="O183" s="27">
        <f t="shared" si="4"/>
        <v>13395.22</v>
      </c>
      <c r="P183" s="27">
        <v>13395.22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20"/>
    </row>
    <row r="186" spans="1:3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0</v>
      </c>
      <c r="P186" s="27"/>
      <c r="Q186" s="27"/>
      <c r="R186" s="20"/>
    </row>
    <row r="187" spans="1:3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20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14</v>
      </c>
      <c r="O187" s="27">
        <f t="shared" si="4"/>
        <v>39483.94</v>
      </c>
      <c r="P187" s="27">
        <v>39483.94</v>
      </c>
      <c r="Q187" s="27"/>
      <c r="R187" s="20"/>
    </row>
    <row r="188" spans="1:3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8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20"/>
    </row>
    <row r="189" spans="1:3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9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14800.8</v>
      </c>
      <c r="P189" s="27">
        <v>14800.8</v>
      </c>
      <c r="Q189" s="27"/>
      <c r="R189" s="20"/>
    </row>
    <row r="190" spans="1:3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21</v>
      </c>
      <c r="I190" s="2">
        <v>17</v>
      </c>
      <c r="J190" s="26">
        <v>18</v>
      </c>
      <c r="K190" s="27"/>
      <c r="L190" s="27"/>
      <c r="M190" s="27"/>
      <c r="N190" s="2"/>
      <c r="O190" s="27"/>
      <c r="P190" s="27"/>
      <c r="Q190" s="27"/>
      <c r="R190" s="20"/>
    </row>
    <row r="191" spans="1:3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20"/>
    </row>
    <row r="194" spans="1:44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20"/>
    </row>
    <row r="195" spans="1:44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32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5</v>
      </c>
      <c r="O195" s="27">
        <f t="shared" si="7"/>
        <v>14077.71</v>
      </c>
      <c r="P195" s="27">
        <v>14077.71</v>
      </c>
      <c r="Q195" s="27"/>
      <c r="R195" s="20"/>
    </row>
    <row r="196" spans="1:44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20"/>
    </row>
    <row r="197" spans="1:44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21</v>
      </c>
      <c r="I197" s="1">
        <v>9</v>
      </c>
      <c r="J197" s="44">
        <v>9</v>
      </c>
      <c r="K197" s="27">
        <f t="shared" si="6"/>
        <v>0</v>
      </c>
      <c r="L197" s="27"/>
      <c r="M197" s="27"/>
      <c r="N197" s="1">
        <v>23</v>
      </c>
      <c r="O197" s="27">
        <f t="shared" si="7"/>
        <v>8691.5400000000009</v>
      </c>
      <c r="P197" s="27">
        <f>2707.13+2929.33+825.14+2229.94</f>
        <v>8691.5400000000009</v>
      </c>
      <c r="Q197" s="27"/>
      <c r="R197" s="20"/>
    </row>
    <row r="198" spans="1:44" s="7" customFormat="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20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44" s="14" customFormat="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8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1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20"/>
      <c r="AM201" s="4"/>
      <c r="AN201" s="4"/>
      <c r="AO201" s="4"/>
      <c r="AP201" s="4"/>
      <c r="AQ201" s="4"/>
      <c r="AR201" s="4"/>
    </row>
    <row r="202" spans="1:44" s="14" customFormat="1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2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20"/>
      <c r="AM202" s="4"/>
      <c r="AN202" s="4"/>
      <c r="AO202" s="4"/>
      <c r="AP202" s="4"/>
      <c r="AQ202" s="4"/>
      <c r="AR202" s="4"/>
    </row>
    <row r="203" spans="1:44" s="14" customFormat="1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1828</v>
      </c>
      <c r="I203" s="88">
        <f>SUM(I10:I202)</f>
        <v>759</v>
      </c>
      <c r="J203" s="88">
        <f>SUM(J10:J202)</f>
        <v>801</v>
      </c>
      <c r="K203" s="90">
        <f>SUM(K10:K202)</f>
        <v>106537.74000000002</v>
      </c>
      <c r="L203" s="90">
        <f t="shared" ref="L203:Q203" si="8">SUM(L10:L202)</f>
        <v>106537.74000000002</v>
      </c>
      <c r="M203" s="88">
        <f t="shared" si="8"/>
        <v>0</v>
      </c>
      <c r="N203" s="88">
        <f t="shared" si="8"/>
        <v>872</v>
      </c>
      <c r="O203" s="90">
        <f>SUM(O10:O202)</f>
        <v>1291056.21</v>
      </c>
      <c r="P203" s="90">
        <f>SUM(P10:P202)</f>
        <v>1291056.21</v>
      </c>
      <c r="Q203" s="88">
        <f t="shared" si="8"/>
        <v>0</v>
      </c>
      <c r="R203" s="20"/>
      <c r="AM203" s="4"/>
      <c r="AN203" s="4"/>
      <c r="AO203" s="4"/>
      <c r="AP203" s="4"/>
      <c r="AQ203" s="4"/>
      <c r="AR203" s="4"/>
    </row>
    <row r="204" spans="1:44" s="14" customFormat="1" ht="15" customHeight="1">
      <c r="A204" s="5"/>
      <c r="B204" s="6"/>
      <c r="C204" s="5"/>
      <c r="D204" s="6"/>
      <c r="E204" s="6"/>
      <c r="F204" s="6"/>
      <c r="G204" s="6"/>
      <c r="H204" s="9"/>
      <c r="I204" s="9"/>
      <c r="J204" s="9"/>
      <c r="K204" s="9"/>
      <c r="L204" s="9"/>
      <c r="M204" s="11"/>
      <c r="N204" s="9"/>
      <c r="O204" s="9"/>
      <c r="P204" s="5"/>
      <c r="Q204" s="13"/>
      <c r="R204" s="20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12"/>
      <c r="N205" s="4"/>
      <c r="O205" s="4"/>
      <c r="P205" s="4"/>
      <c r="Q205" s="12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9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15"/>
      <c r="O207" s="15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15"/>
      <c r="O208" s="4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15"/>
      <c r="M211" s="12"/>
      <c r="N211" s="4"/>
      <c r="O211" s="4"/>
      <c r="P211" s="4"/>
      <c r="Q211" s="12"/>
      <c r="AM211" s="4"/>
      <c r="AN211" s="4"/>
      <c r="AO211" s="4"/>
      <c r="AP211" s="4"/>
      <c r="AQ211" s="4"/>
      <c r="AR211" s="4"/>
    </row>
    <row r="218" spans="1:44" s="12" customForma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15"/>
      <c r="N218" s="4"/>
      <c r="O218" s="4"/>
      <c r="P218" s="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4"/>
      <c r="AN218" s="4"/>
      <c r="AO218" s="4"/>
      <c r="AP218" s="4"/>
      <c r="AQ218" s="4"/>
      <c r="AR218" s="4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R218"/>
  <sheetViews>
    <sheetView topLeftCell="A9" zoomScale="63" zoomScaleNormal="63" workbookViewId="0">
      <selection activeCell="N9" sqref="A7:Q203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18</v>
      </c>
      <c r="I11" s="1">
        <v>8</v>
      </c>
      <c r="J11" s="26">
        <v>8</v>
      </c>
      <c r="K11" s="27">
        <f t="shared" ref="K11:K85" si="2">L11+M11</f>
        <v>0</v>
      </c>
      <c r="L11" s="27"/>
      <c r="M11" s="27"/>
      <c r="N11" s="1">
        <v>15</v>
      </c>
      <c r="O11" s="27">
        <f t="shared" si="1"/>
        <v>21144</v>
      </c>
      <c r="P11" s="27">
        <v>21144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17</v>
      </c>
      <c r="I12" s="1">
        <v>4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19</v>
      </c>
      <c r="I14" s="1">
        <v>7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16</v>
      </c>
      <c r="J15" s="26">
        <v>16</v>
      </c>
      <c r="K15" s="27">
        <f t="shared" si="2"/>
        <v>0</v>
      </c>
      <c r="L15" s="27"/>
      <c r="M15" s="27"/>
      <c r="N15" s="2">
        <v>11</v>
      </c>
      <c r="O15" s="27">
        <f t="shared" si="1"/>
        <v>12739.4</v>
      </c>
      <c r="P15" s="27">
        <v>12739.4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39</v>
      </c>
      <c r="I16" s="1">
        <v>33</v>
      </c>
      <c r="J16" s="26">
        <v>39</v>
      </c>
      <c r="K16" s="27">
        <f t="shared" si="2"/>
        <v>13586.04</v>
      </c>
      <c r="L16" s="27">
        <f>4556.63+4600.8+4428.61</f>
        <v>13586.04</v>
      </c>
      <c r="M16" s="27"/>
      <c r="N16" s="1">
        <v>21</v>
      </c>
      <c r="O16" s="27">
        <f t="shared" si="1"/>
        <v>47356.040000000008</v>
      </c>
      <c r="P16" s="27">
        <f>9373.48+1765.32+2881.47+14555.74+1792.06+3628.8+10310.59+3048.58</f>
        <v>47356.040000000008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35</v>
      </c>
      <c r="I20" s="1">
        <v>24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58770.28</v>
      </c>
      <c r="P20" s="27">
        <f>4072.37+2831.63+9295.25+1395.5+16947.28+5032.27+19195.98</f>
        <v>58770.28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11</v>
      </c>
      <c r="O22" s="27">
        <f t="shared" si="1"/>
        <v>8281.4</v>
      </c>
      <c r="P22" s="27">
        <v>8281.4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6214.38</v>
      </c>
      <c r="P23" s="27">
        <f>488+2791.37+2935.01</f>
        <v>6214.38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4086.08</v>
      </c>
      <c r="L26" s="27">
        <f>4086.08</f>
        <v>4086.08</v>
      </c>
      <c r="M26" s="27"/>
      <c r="N26" s="1">
        <v>3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18</v>
      </c>
      <c r="I29" s="1">
        <v>10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14079.12</v>
      </c>
      <c r="P29" s="27">
        <f>1585.49+7579.12+718.9+1852.33+814.04+1529.24</f>
        <v>14079.12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17</v>
      </c>
      <c r="I32" s="1">
        <v>10</v>
      </c>
      <c r="J32" s="26">
        <v>12</v>
      </c>
      <c r="K32" s="27">
        <f t="shared" si="2"/>
        <v>6122.51</v>
      </c>
      <c r="L32" s="27">
        <f>1850.1+4272.41</f>
        <v>6122.51</v>
      </c>
      <c r="M32" s="27"/>
      <c r="N32" s="1">
        <v>12</v>
      </c>
      <c r="O32" s="27">
        <f t="shared" si="1"/>
        <v>30484.04</v>
      </c>
      <c r="P32" s="27">
        <f>8353.67+11335.86+6709.68+4084.83</f>
        <v>30484.04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5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11</v>
      </c>
      <c r="I35" s="1"/>
      <c r="J35" s="26"/>
      <c r="K35" s="27">
        <f t="shared" si="2"/>
        <v>0</v>
      </c>
      <c r="L35" s="27"/>
      <c r="M35" s="27"/>
      <c r="N35" s="1">
        <v>6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12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15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7136.1</v>
      </c>
      <c r="P37" s="27">
        <v>7136.1</v>
      </c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14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13</v>
      </c>
      <c r="I39" s="2">
        <v>2</v>
      </c>
      <c r="J39" s="26">
        <v>2</v>
      </c>
      <c r="K39" s="27">
        <f t="shared" si="2"/>
        <v>0</v>
      </c>
      <c r="L39" s="27"/>
      <c r="M39" s="27"/>
      <c r="N39" s="2">
        <v>8</v>
      </c>
      <c r="O39" s="27">
        <f t="shared" si="1"/>
        <v>2466.8000000000002</v>
      </c>
      <c r="P39" s="27">
        <v>2466.8000000000002</v>
      </c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8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5</v>
      </c>
      <c r="O40" s="27">
        <f t="shared" si="1"/>
        <v>3986.12</v>
      </c>
      <c r="P40" s="27">
        <f>1233.4+2752.72</f>
        <v>3986.12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10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23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8</v>
      </c>
      <c r="I45" s="1"/>
      <c r="J45" s="26"/>
      <c r="K45" s="27">
        <f t="shared" si="2"/>
        <v>0</v>
      </c>
      <c r="L45" s="27"/>
      <c r="M45" s="27"/>
      <c r="N45" s="1">
        <v>5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7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6</v>
      </c>
      <c r="I47" s="1"/>
      <c r="J47" s="26"/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15</v>
      </c>
      <c r="I48" s="1">
        <v>11</v>
      </c>
      <c r="J48" s="26">
        <v>12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12</v>
      </c>
      <c r="J50" s="26">
        <v>12</v>
      </c>
      <c r="K50" s="27">
        <f t="shared" si="2"/>
        <v>6913.6</v>
      </c>
      <c r="L50" s="27">
        <v>6913.6</v>
      </c>
      <c r="M50" s="27"/>
      <c r="N50" s="1">
        <v>7</v>
      </c>
      <c r="O50" s="27">
        <f t="shared" si="1"/>
        <v>21680.73</v>
      </c>
      <c r="P50" s="27">
        <f>6837.93+3382.02+3633.83+6541.43+1285.52</f>
        <v>21680.73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9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9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2819.2</v>
      </c>
      <c r="P54" s="27">
        <v>2819.2</v>
      </c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2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10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13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33</v>
      </c>
      <c r="I59" s="26">
        <v>16</v>
      </c>
      <c r="J59" s="26">
        <v>16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29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19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18808.77</v>
      </c>
      <c r="P61" s="27">
        <f>3558.78+6542.54+4585.89+4121.56</f>
        <v>18808.77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17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10</v>
      </c>
      <c r="J63" s="26">
        <v>11</v>
      </c>
      <c r="K63" s="27">
        <f t="shared" si="2"/>
        <v>0</v>
      </c>
      <c r="L63" s="27"/>
      <c r="M63" s="27"/>
      <c r="N63" s="1">
        <v>13</v>
      </c>
      <c r="O63" s="27">
        <f t="shared" si="1"/>
        <v>21556.080000000002</v>
      </c>
      <c r="P63" s="27">
        <f>3793.8+8092.08+9670.2</f>
        <v>21556.080000000002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8</v>
      </c>
      <c r="J64" s="26">
        <v>8</v>
      </c>
      <c r="K64" s="27">
        <f t="shared" si="2"/>
        <v>0</v>
      </c>
      <c r="L64" s="27"/>
      <c r="M64" s="27"/>
      <c r="N64" s="1">
        <v>18</v>
      </c>
      <c r="O64" s="27">
        <f t="shared" si="1"/>
        <v>8299.02</v>
      </c>
      <c r="P64" s="27">
        <v>8299.02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15</v>
      </c>
      <c r="I65" s="1">
        <v>6</v>
      </c>
      <c r="J65" s="26">
        <v>7</v>
      </c>
      <c r="K65" s="27">
        <f t="shared" si="2"/>
        <v>0</v>
      </c>
      <c r="L65" s="27"/>
      <c r="M65" s="27"/>
      <c r="N65" s="1">
        <v>7</v>
      </c>
      <c r="O65" s="27">
        <f t="shared" si="1"/>
        <v>7690.6</v>
      </c>
      <c r="P65" s="27">
        <f>1487.48+1918.48+4284.64</f>
        <v>7690.6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17337.38</v>
      </c>
      <c r="P66" s="27">
        <f>1353.94+9352.06+1852.4+3552.19+1226.79</f>
        <v>17337.38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10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11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22</v>
      </c>
      <c r="I70" s="2">
        <v>13</v>
      </c>
      <c r="J70" s="26">
        <v>13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28</v>
      </c>
      <c r="I71" s="1">
        <v>17</v>
      </c>
      <c r="J71" s="26">
        <v>17</v>
      </c>
      <c r="K71" s="27">
        <f t="shared" si="2"/>
        <v>2199.6799999999998</v>
      </c>
      <c r="L71" s="27">
        <f>2199.68</f>
        <v>2199.6799999999998</v>
      </c>
      <c r="M71" s="27"/>
      <c r="N71" s="1">
        <v>17</v>
      </c>
      <c r="O71" s="27">
        <f t="shared" si="1"/>
        <v>87678.12</v>
      </c>
      <c r="P71" s="27">
        <f>8536.41+1900.55+1810.72+5409.65+1602.49+6411.71+6033.69+27487.21+5155.58+12470.56+10859.55</f>
        <v>87678.12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25</v>
      </c>
      <c r="I73" s="1">
        <v>13</v>
      </c>
      <c r="J73" s="26">
        <v>13</v>
      </c>
      <c r="K73" s="27">
        <f t="shared" si="2"/>
        <v>3339.42</v>
      </c>
      <c r="L73" s="27">
        <f>607.08+2732.34</f>
        <v>3339.42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10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28363.64</v>
      </c>
      <c r="P75" s="27">
        <v>28363.64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4</v>
      </c>
      <c r="I76" s="1">
        <v>1</v>
      </c>
      <c r="J76" s="26">
        <v>1</v>
      </c>
      <c r="K76" s="27">
        <f t="shared" si="2"/>
        <v>0</v>
      </c>
      <c r="L76" s="27"/>
      <c r="M76" s="27"/>
      <c r="N76" s="1">
        <v>8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14</v>
      </c>
      <c r="I77" s="1">
        <v>6</v>
      </c>
      <c r="J77" s="26">
        <v>6</v>
      </c>
      <c r="K77" s="27">
        <f t="shared" si="2"/>
        <v>4400.6000000000004</v>
      </c>
      <c r="L77" s="27">
        <v>4400.6000000000004</v>
      </c>
      <c r="M77" s="27"/>
      <c r="N77" s="1">
        <v>16</v>
      </c>
      <c r="O77" s="27">
        <f t="shared" si="1"/>
        <v>46129.759999999995</v>
      </c>
      <c r="P77" s="27">
        <f>5457.7+9775.17+3631.18+27265.71</f>
        <v>46129.759999999995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13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8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7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48</v>
      </c>
      <c r="I83" s="1">
        <v>28</v>
      </c>
      <c r="J83" s="26">
        <v>28</v>
      </c>
      <c r="K83" s="27">
        <f t="shared" si="2"/>
        <v>5547.55</v>
      </c>
      <c r="L83" s="27">
        <f>5547.55</f>
        <v>5547.55</v>
      </c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31</v>
      </c>
      <c r="I86" s="1">
        <v>27</v>
      </c>
      <c r="J86" s="26">
        <v>28</v>
      </c>
      <c r="K86" s="27">
        <f t="shared" ref="K86:K154" si="3">L86+M86</f>
        <v>12507.07</v>
      </c>
      <c r="L86" s="27">
        <f>5061.86+7445.21</f>
        <v>12507.07</v>
      </c>
      <c r="M86" s="27"/>
      <c r="N86" s="1">
        <v>11</v>
      </c>
      <c r="O86" s="27">
        <f t="shared" si="1"/>
        <v>17059.530000000002</v>
      </c>
      <c r="P86" s="27">
        <f>1369.13+3431.04+7740.64+2536.47+920.62+1061.63</f>
        <v>17059.530000000002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8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3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4</v>
      </c>
      <c r="J92" s="26">
        <v>4</v>
      </c>
      <c r="K92" s="27">
        <f t="shared" si="3"/>
        <v>0</v>
      </c>
      <c r="L92" s="27"/>
      <c r="M92" s="27"/>
      <c r="N92" s="2">
        <v>17</v>
      </c>
      <c r="O92" s="27">
        <f t="shared" si="1"/>
        <v>2819.2</v>
      </c>
      <c r="P92" s="27">
        <v>2819.2</v>
      </c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2</v>
      </c>
      <c r="O93" s="27">
        <f t="shared" ref="O93:O192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9</v>
      </c>
      <c r="I95" s="1">
        <v>7</v>
      </c>
      <c r="J95" s="26">
        <v>7</v>
      </c>
      <c r="K95" s="27">
        <f t="shared" si="3"/>
        <v>2262.4</v>
      </c>
      <c r="L95" s="27">
        <v>2262.4</v>
      </c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10878.949999999999</v>
      </c>
      <c r="P96" s="27">
        <f>1647.47+9231.48</f>
        <v>10878.949999999999</v>
      </c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20</v>
      </c>
      <c r="I101" s="1">
        <v>12</v>
      </c>
      <c r="J101" s="26">
        <v>12</v>
      </c>
      <c r="K101" s="27">
        <f t="shared" si="3"/>
        <v>2177.83</v>
      </c>
      <c r="L101" s="27">
        <f>2177.83</f>
        <v>2177.83</v>
      </c>
      <c r="M101" s="27"/>
      <c r="N101" s="1">
        <v>10</v>
      </c>
      <c r="O101" s="27">
        <f t="shared" si="4"/>
        <v>28784.010000000002</v>
      </c>
      <c r="P101" s="27">
        <f>8926.48+3667.84+9102.27+7087.42</f>
        <v>28784.010000000002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12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13</v>
      </c>
      <c r="I103" s="1">
        <v>1</v>
      </c>
      <c r="J103" s="26">
        <v>1</v>
      </c>
      <c r="K103" s="27">
        <f t="shared" si="3"/>
        <v>1057.2</v>
      </c>
      <c r="L103" s="27">
        <v>1057.2</v>
      </c>
      <c r="M103" s="27"/>
      <c r="N103" s="1"/>
      <c r="O103" s="27">
        <f t="shared" si="4"/>
        <v>0</v>
      </c>
      <c r="P103" s="28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365</v>
      </c>
      <c r="G104" s="23" t="s">
        <v>136</v>
      </c>
      <c r="H104" s="25">
        <v>23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15</v>
      </c>
      <c r="I105" s="1">
        <v>14</v>
      </c>
      <c r="J105" s="26">
        <v>17</v>
      </c>
      <c r="K105" s="27">
        <f t="shared" si="3"/>
        <v>2637.71</v>
      </c>
      <c r="L105" s="27">
        <f>977.91+1659.8</f>
        <v>2637.71</v>
      </c>
      <c r="M105" s="27"/>
      <c r="N105" s="1">
        <v>18</v>
      </c>
      <c r="O105" s="27">
        <f>P105+Q105</f>
        <v>81455.08</v>
      </c>
      <c r="P105" s="27">
        <f>7142.66+6007.6+11985.28+16853.32+13359.63+12185.56+13921.03</f>
        <v>81455.08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15</v>
      </c>
      <c r="I106" s="1">
        <v>3</v>
      </c>
      <c r="J106" s="26">
        <v>3</v>
      </c>
      <c r="K106" s="27">
        <f t="shared" si="3"/>
        <v>0</v>
      </c>
      <c r="L106" s="27"/>
      <c r="M106" s="27"/>
      <c r="N106" s="1">
        <v>9</v>
      </c>
      <c r="O106" s="27">
        <f>P106+Q106</f>
        <v>10660.1</v>
      </c>
      <c r="P106" s="27">
        <v>10660.1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22</v>
      </c>
      <c r="I107" s="2">
        <v>3</v>
      </c>
      <c r="J107" s="26">
        <v>3</v>
      </c>
      <c r="K107" s="27">
        <f t="shared" si="3"/>
        <v>0</v>
      </c>
      <c r="L107" s="27"/>
      <c r="M107" s="27"/>
      <c r="N107" s="2">
        <v>26</v>
      </c>
      <c r="O107" s="27">
        <f>P107+Q107</f>
        <v>42079.31</v>
      </c>
      <c r="P107" s="35">
        <v>42079.31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/>
      <c r="J109" s="26"/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8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3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17</v>
      </c>
      <c r="I111" s="2">
        <v>9</v>
      </c>
      <c r="J111" s="26">
        <v>10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13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10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23</v>
      </c>
      <c r="I114" s="1">
        <v>19</v>
      </c>
      <c r="J114" s="26">
        <v>19</v>
      </c>
      <c r="K114" s="27">
        <f t="shared" si="3"/>
        <v>17351.93</v>
      </c>
      <c r="L114" s="27">
        <f>6292.32+11059.61</f>
        <v>17351.93</v>
      </c>
      <c r="M114" s="27"/>
      <c r="N114" s="1">
        <v>9</v>
      </c>
      <c r="O114" s="27">
        <f t="shared" si="4"/>
        <v>25029.530000000002</v>
      </c>
      <c r="P114" s="27">
        <f>3646.63+15405.61+207.55+4651.68+1118.06</f>
        <v>25029.530000000002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21</v>
      </c>
      <c r="I118" s="1">
        <v>17</v>
      </c>
      <c r="J118" s="26">
        <v>20</v>
      </c>
      <c r="K118" s="27">
        <f t="shared" si="3"/>
        <v>13736.86</v>
      </c>
      <c r="L118" s="27">
        <f>868.67+12868.19</f>
        <v>13736.86</v>
      </c>
      <c r="M118" s="27"/>
      <c r="N118" s="1">
        <v>12</v>
      </c>
      <c r="O118" s="27">
        <f t="shared" si="4"/>
        <v>34241.86</v>
      </c>
      <c r="P118" s="27">
        <f>3333.95+1419.74+6665.65+8634.68+1726.54+12461.3</f>
        <v>34241.86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18</v>
      </c>
      <c r="I120" s="1">
        <v>3</v>
      </c>
      <c r="J120" s="26">
        <v>3</v>
      </c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19</v>
      </c>
      <c r="I122" s="1">
        <v>6</v>
      </c>
      <c r="J122" s="26">
        <v>6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6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11</v>
      </c>
      <c r="I124" s="1">
        <v>5</v>
      </c>
      <c r="J124" s="26">
        <v>5</v>
      </c>
      <c r="K124" s="27">
        <f t="shared" si="3"/>
        <v>0</v>
      </c>
      <c r="L124" s="27"/>
      <c r="M124" s="27"/>
      <c r="N124" s="1">
        <v>6</v>
      </c>
      <c r="O124" s="27">
        <f t="shared" si="4"/>
        <v>7736.87</v>
      </c>
      <c r="P124" s="27">
        <f>2479.17+3260.79+1996.91</f>
        <v>7736.87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3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19</v>
      </c>
      <c r="I126" s="1">
        <v>16</v>
      </c>
      <c r="J126" s="26">
        <v>16</v>
      </c>
      <c r="K126" s="27">
        <f t="shared" si="3"/>
        <v>4799.6900000000005</v>
      </c>
      <c r="L126" s="27">
        <f>2262.41+2537.28</f>
        <v>4799.6900000000005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44</v>
      </c>
      <c r="I128" s="1">
        <v>39</v>
      </c>
      <c r="J128" s="26">
        <v>39</v>
      </c>
      <c r="K128" s="27">
        <f t="shared" si="3"/>
        <v>14837.82</v>
      </c>
      <c r="L128" s="27">
        <f>4622.62+10215.2</f>
        <v>14837.82</v>
      </c>
      <c r="M128" s="27"/>
      <c r="N128" s="1">
        <v>13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10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20</v>
      </c>
      <c r="I130" s="1">
        <v>16</v>
      </c>
      <c r="J130" s="26">
        <v>18</v>
      </c>
      <c r="K130" s="27">
        <f t="shared" si="3"/>
        <v>6912.33</v>
      </c>
      <c r="L130" s="27">
        <f>1150.59+5761.74</f>
        <v>6912.33</v>
      </c>
      <c r="M130" s="27"/>
      <c r="N130" s="1">
        <v>10</v>
      </c>
      <c r="O130" s="27">
        <f t="shared" si="4"/>
        <v>16519.240000000002</v>
      </c>
      <c r="P130" s="27">
        <f>919.46+2791.44+2825.9+1143.1+4609.59+4061.35+168.4</f>
        <v>16519.240000000002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23" t="s">
        <v>123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21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23205.66</v>
      </c>
      <c r="P132" s="27">
        <f>6606.63+11561.65+5037.38</f>
        <v>23205.66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36</v>
      </c>
      <c r="I133" s="1">
        <v>4</v>
      </c>
      <c r="J133" s="26">
        <v>4</v>
      </c>
      <c r="K133" s="27">
        <f t="shared" si="3"/>
        <v>0</v>
      </c>
      <c r="L133" s="27"/>
      <c r="M133" s="27"/>
      <c r="N133" s="1">
        <v>10</v>
      </c>
      <c r="O133" s="27">
        <f t="shared" si="4"/>
        <v>3039.46</v>
      </c>
      <c r="P133" s="27">
        <v>3039.46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21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22081.42</v>
      </c>
      <c r="P134" s="27">
        <f>1359.87+2464.36+5364.57+11322.68+1569.94</f>
        <v>22081.42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4</v>
      </c>
      <c r="I135" s="1"/>
      <c r="J135" s="26"/>
      <c r="K135" s="27">
        <f t="shared" si="3"/>
        <v>0</v>
      </c>
      <c r="L135" s="27"/>
      <c r="M135" s="27"/>
      <c r="N135" s="1">
        <v>2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22</v>
      </c>
      <c r="I137" s="1">
        <v>3</v>
      </c>
      <c r="J137" s="26">
        <v>3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14</v>
      </c>
      <c r="I138" s="1">
        <v>9</v>
      </c>
      <c r="J138" s="26">
        <v>9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11</v>
      </c>
      <c r="I139" s="1"/>
      <c r="J139" s="26"/>
      <c r="K139" s="27">
        <f t="shared" si="3"/>
        <v>0</v>
      </c>
      <c r="L139" s="27"/>
      <c r="M139" s="27"/>
      <c r="N139" s="1">
        <v>6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11</v>
      </c>
      <c r="I140" s="1">
        <v>6</v>
      </c>
      <c r="J140" s="26">
        <v>6</v>
      </c>
      <c r="K140" s="27">
        <f t="shared" si="3"/>
        <v>1251.72</v>
      </c>
      <c r="L140" s="27">
        <f>1251.72</f>
        <v>1251.72</v>
      </c>
      <c r="M140" s="27"/>
      <c r="N140" s="1">
        <v>4</v>
      </c>
      <c r="O140" s="27">
        <f t="shared" si="4"/>
        <v>9882.14</v>
      </c>
      <c r="P140" s="27">
        <f>886.32+5410.33+3585.49</f>
        <v>9882.14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12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21863.360000000001</v>
      </c>
      <c r="P141" s="27">
        <f>8438.22+13425.14</f>
        <v>21863.360000000001</v>
      </c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3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268</v>
      </c>
      <c r="G145" s="23" t="s">
        <v>122</v>
      </c>
      <c r="H145" s="25">
        <v>9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11</v>
      </c>
      <c r="I146" s="1">
        <v>4</v>
      </c>
      <c r="J146" s="26">
        <v>5</v>
      </c>
      <c r="K146" s="27">
        <f t="shared" si="3"/>
        <v>2702.63</v>
      </c>
      <c r="L146" s="27">
        <f>1279.21+1423.42</f>
        <v>2702.63</v>
      </c>
      <c r="M146" s="27"/>
      <c r="N146" s="1">
        <v>2</v>
      </c>
      <c r="O146" s="27">
        <f t="shared" si="4"/>
        <v>2640.13</v>
      </c>
      <c r="P146" s="27">
        <f>486.08+2154.05</f>
        <v>2640.13</v>
      </c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22</v>
      </c>
      <c r="I148" s="1">
        <v>3</v>
      </c>
      <c r="J148" s="26">
        <v>3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34</v>
      </c>
      <c r="I149" s="1">
        <v>23</v>
      </c>
      <c r="J149" s="26">
        <v>34</v>
      </c>
      <c r="K149" s="27">
        <f t="shared" si="3"/>
        <v>4012.07</v>
      </c>
      <c r="L149" s="27">
        <f>4012.07</f>
        <v>4012.07</v>
      </c>
      <c r="M149" s="27"/>
      <c r="N149" s="1">
        <v>9</v>
      </c>
      <c r="O149" s="27">
        <f t="shared" si="4"/>
        <v>8415.9500000000007</v>
      </c>
      <c r="P149" s="27">
        <f>5675.37+2740.58</f>
        <v>8415.9500000000007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8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3</v>
      </c>
      <c r="J154" s="26">
        <v>3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>
        <v>1</v>
      </c>
      <c r="J155" s="26">
        <v>1</v>
      </c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6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14</v>
      </c>
      <c r="I157" s="1">
        <v>13</v>
      </c>
      <c r="J157" s="26">
        <v>14</v>
      </c>
      <c r="K157" s="27">
        <f t="shared" si="6"/>
        <v>12007.23</v>
      </c>
      <c r="L157" s="27">
        <f>4990.06+7017.17</f>
        <v>12007.23</v>
      </c>
      <c r="M157" s="27"/>
      <c r="N157" s="1">
        <v>7</v>
      </c>
      <c r="O157" s="27">
        <f t="shared" si="4"/>
        <v>15710.62</v>
      </c>
      <c r="P157" s="27">
        <f>887.45+1225.31+5357.66+6830.6+1409.6</f>
        <v>15710.62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2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8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12670.960000000001</v>
      </c>
      <c r="P163" s="27">
        <f>1061.97+8854.87+2222.88+531.24</f>
        <v>12670.960000000001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8</v>
      </c>
      <c r="I165" s="40">
        <v>4</v>
      </c>
      <c r="J165" s="43">
        <v>4</v>
      </c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15</v>
      </c>
      <c r="I166" s="1">
        <v>1</v>
      </c>
      <c r="J166" s="26">
        <v>1</v>
      </c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11</v>
      </c>
      <c r="I167" s="1">
        <v>1</v>
      </c>
      <c r="J167" s="26">
        <v>1</v>
      </c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268</v>
      </c>
      <c r="G170" s="23" t="s">
        <v>136</v>
      </c>
      <c r="H170" s="25">
        <v>10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9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10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14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23296.730000000003</v>
      </c>
      <c r="P173" s="27">
        <f>4712.69+2993.76+7569.59+911.84+7108.85</f>
        <v>23296.730000000003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9</v>
      </c>
      <c r="I174" s="1">
        <v>5</v>
      </c>
      <c r="J174" s="26">
        <v>6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4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12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19</v>
      </c>
      <c r="O178" s="27">
        <f t="shared" si="4"/>
        <v>6343.2</v>
      </c>
      <c r="P178" s="27">
        <v>6343.2</v>
      </c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25</v>
      </c>
      <c r="I179" s="1">
        <v>20</v>
      </c>
      <c r="J179" s="26">
        <v>20</v>
      </c>
      <c r="K179" s="27">
        <f t="shared" si="6"/>
        <v>13481.74</v>
      </c>
      <c r="L179" s="27">
        <f>13481.74</f>
        <v>13481.74</v>
      </c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10</v>
      </c>
      <c r="I180" s="1"/>
      <c r="J180" s="26"/>
      <c r="K180" s="27">
        <f t="shared" si="6"/>
        <v>0</v>
      </c>
      <c r="L180" s="27"/>
      <c r="M180" s="27"/>
      <c r="N180" s="1">
        <v>7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6</v>
      </c>
      <c r="I181" s="1">
        <v>1</v>
      </c>
      <c r="J181" s="26">
        <v>1</v>
      </c>
      <c r="K181" s="27">
        <f t="shared" si="6"/>
        <v>0</v>
      </c>
      <c r="L181" s="27"/>
      <c r="M181" s="27"/>
      <c r="N181" s="1">
        <v>3</v>
      </c>
      <c r="O181" s="27">
        <f t="shared" si="4"/>
        <v>14026.97</v>
      </c>
      <c r="P181" s="27">
        <f>2891.29+9127.51+1007.87+1000.3</f>
        <v>14026.97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41</v>
      </c>
      <c r="I182" s="1">
        <v>31</v>
      </c>
      <c r="J182" s="26">
        <v>31</v>
      </c>
      <c r="K182" s="27">
        <f t="shared" si="6"/>
        <v>11917.66</v>
      </c>
      <c r="L182" s="27">
        <f>2547.86+9369.8</f>
        <v>11917.66</v>
      </c>
      <c r="M182" s="27"/>
      <c r="N182" s="1">
        <v>18</v>
      </c>
      <c r="O182" s="27">
        <f t="shared" si="4"/>
        <v>73939.81</v>
      </c>
      <c r="P182" s="27">
        <f>8759.8+505.2+4743.98+1370.7+8567.35+22476.66+1292.01+10655.62+4946.22+5457.87+5164.4</f>
        <v>73939.81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25</v>
      </c>
      <c r="I183" s="1">
        <v>2</v>
      </c>
      <c r="J183" s="26">
        <v>2</v>
      </c>
      <c r="K183" s="27">
        <f t="shared" si="6"/>
        <v>0</v>
      </c>
      <c r="L183" s="27"/>
      <c r="M183" s="27"/>
      <c r="N183" s="1">
        <v>15</v>
      </c>
      <c r="O183" s="27">
        <f t="shared" si="4"/>
        <v>13395.22</v>
      </c>
      <c r="P183" s="27">
        <v>13395.22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123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20"/>
    </row>
    <row r="186" spans="1:3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660.75</v>
      </c>
      <c r="P186" s="27">
        <f>660.75</f>
        <v>660.75</v>
      </c>
      <c r="Q186" s="27"/>
      <c r="R186" s="20"/>
    </row>
    <row r="187" spans="1:3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292</v>
      </c>
      <c r="G187" s="23" t="s">
        <v>122</v>
      </c>
      <c r="H187" s="25">
        <v>25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17</v>
      </c>
      <c r="O187" s="27">
        <f t="shared" si="4"/>
        <v>39483.94</v>
      </c>
      <c r="P187" s="27">
        <v>39483.94</v>
      </c>
      <c r="Q187" s="27"/>
      <c r="R187" s="20"/>
    </row>
    <row r="188" spans="1:3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8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20"/>
    </row>
    <row r="189" spans="1:3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11</v>
      </c>
      <c r="I189" s="2">
        <v>2</v>
      </c>
      <c r="J189" s="26">
        <v>2</v>
      </c>
      <c r="K189" s="27">
        <f t="shared" si="6"/>
        <v>0</v>
      </c>
      <c r="L189" s="27"/>
      <c r="M189" s="27"/>
      <c r="N189" s="2">
        <v>5</v>
      </c>
      <c r="O189" s="27">
        <f t="shared" si="4"/>
        <v>17972.400000000001</v>
      </c>
      <c r="P189" s="27">
        <v>17972.400000000001</v>
      </c>
      <c r="Q189" s="27"/>
      <c r="R189" s="20"/>
    </row>
    <row r="190" spans="1:3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21</v>
      </c>
      <c r="I190" s="2">
        <v>18</v>
      </c>
      <c r="J190" s="26">
        <v>19</v>
      </c>
      <c r="K190" s="27">
        <f>L190+M190</f>
        <v>7701.71</v>
      </c>
      <c r="L190" s="27">
        <f>7701.71</f>
        <v>7701.71</v>
      </c>
      <c r="M190" s="27"/>
      <c r="N190" s="2"/>
      <c r="O190" s="27"/>
      <c r="P190" s="27"/>
      <c r="Q190" s="27"/>
      <c r="R190" s="20"/>
    </row>
    <row r="191" spans="1:3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20"/>
    </row>
    <row r="194" spans="1:44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20"/>
    </row>
    <row r="195" spans="1:44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33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5</v>
      </c>
      <c r="O195" s="27">
        <f t="shared" si="7"/>
        <v>14077.71</v>
      </c>
      <c r="P195" s="27">
        <v>14077.71</v>
      </c>
      <c r="Q195" s="27"/>
      <c r="R195" s="20"/>
    </row>
    <row r="196" spans="1:44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20"/>
    </row>
    <row r="197" spans="1:44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20</v>
      </c>
      <c r="I197" s="1">
        <v>12</v>
      </c>
      <c r="J197" s="44">
        <v>12</v>
      </c>
      <c r="K197" s="27">
        <f t="shared" si="6"/>
        <v>0</v>
      </c>
      <c r="L197" s="27"/>
      <c r="M197" s="27"/>
      <c r="N197" s="1">
        <v>25</v>
      </c>
      <c r="O197" s="27">
        <f t="shared" si="7"/>
        <v>33365.57</v>
      </c>
      <c r="P197" s="27">
        <f>2707.13+2929.33+825.14+2229.94+21058.63+3615.4</f>
        <v>33365.57</v>
      </c>
      <c r="Q197" s="27"/>
      <c r="R197" s="20"/>
    </row>
    <row r="198" spans="1:44" s="7" customFormat="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20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44" s="14" customFormat="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10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3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20"/>
      <c r="AM201" s="4"/>
      <c r="AN201" s="4"/>
      <c r="AO201" s="4"/>
      <c r="AP201" s="4"/>
      <c r="AQ201" s="4"/>
      <c r="AR201" s="4"/>
    </row>
    <row r="202" spans="1:44" s="14" customFormat="1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3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20"/>
      <c r="AM202" s="4"/>
      <c r="AN202" s="4"/>
      <c r="AO202" s="4"/>
      <c r="AP202" s="4"/>
      <c r="AQ202" s="4"/>
      <c r="AR202" s="4"/>
    </row>
    <row r="203" spans="1:44" s="14" customFormat="1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1940</v>
      </c>
      <c r="I203" s="88">
        <f>SUM(I10:I202)</f>
        <v>799</v>
      </c>
      <c r="J203" s="88">
        <f>SUM(J10:J202)</f>
        <v>846</v>
      </c>
      <c r="K203" s="90">
        <f>SUM(K10:K202)</f>
        <v>238020.1</v>
      </c>
      <c r="L203" s="90">
        <f t="shared" ref="L203:Q203" si="8">SUM(L10:L202)</f>
        <v>238020.1</v>
      </c>
      <c r="M203" s="88">
        <f t="shared" si="8"/>
        <v>0</v>
      </c>
      <c r="N203" s="88">
        <f t="shared" si="8"/>
        <v>890</v>
      </c>
      <c r="O203" s="90">
        <f>SUM(O10:O202)</f>
        <v>1523480.6199999999</v>
      </c>
      <c r="P203" s="90">
        <f>SUM(P10:P202)</f>
        <v>1523480.6199999999</v>
      </c>
      <c r="Q203" s="88">
        <f t="shared" si="8"/>
        <v>0</v>
      </c>
      <c r="R203" s="20"/>
      <c r="AM203" s="4"/>
      <c r="AN203" s="4"/>
      <c r="AO203" s="4"/>
      <c r="AP203" s="4"/>
      <c r="AQ203" s="4"/>
      <c r="AR203" s="4"/>
    </row>
    <row r="204" spans="1:44" s="14" customFormat="1" ht="15" customHeight="1">
      <c r="A204" s="5"/>
      <c r="B204" s="6"/>
      <c r="C204" s="5"/>
      <c r="D204" s="6"/>
      <c r="E204" s="6"/>
      <c r="F204" s="6"/>
      <c r="G204" s="6"/>
      <c r="H204" s="9"/>
      <c r="I204" s="9"/>
      <c r="J204" s="9"/>
      <c r="K204" s="9"/>
      <c r="L204" s="9"/>
      <c r="M204" s="11"/>
      <c r="N204" s="9"/>
      <c r="O204" s="9"/>
      <c r="P204" s="5"/>
      <c r="Q204" s="13"/>
      <c r="R204" s="20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12"/>
      <c r="N205" s="4"/>
      <c r="O205" s="4"/>
      <c r="P205" s="4"/>
      <c r="Q205" s="12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9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15"/>
      <c r="O207" s="15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15"/>
      <c r="O208" s="4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15"/>
      <c r="M211" s="12"/>
      <c r="N211" s="4"/>
      <c r="O211" s="4"/>
      <c r="P211" s="4"/>
      <c r="Q211" s="12"/>
      <c r="AM211" s="4"/>
      <c r="AN211" s="4"/>
      <c r="AO211" s="4"/>
      <c r="AP211" s="4"/>
      <c r="AQ211" s="4"/>
      <c r="AR211" s="4"/>
    </row>
    <row r="218" spans="1:44" s="12" customForma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15"/>
      <c r="N218" s="4"/>
      <c r="O218" s="4"/>
      <c r="P218" s="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4"/>
      <c r="AN218" s="4"/>
      <c r="AO218" s="4"/>
      <c r="AP218" s="4"/>
      <c r="AQ218" s="4"/>
      <c r="AR218" s="4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S218"/>
  <sheetViews>
    <sheetView topLeftCell="A197" zoomScale="63" zoomScaleNormal="63" workbookViewId="0">
      <selection activeCell="J224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18</v>
      </c>
      <c r="I11" s="1">
        <v>8</v>
      </c>
      <c r="J11" s="26">
        <v>8</v>
      </c>
      <c r="K11" s="27">
        <f t="shared" ref="K11:K85" si="2">L11+M11</f>
        <v>0</v>
      </c>
      <c r="L11" s="27"/>
      <c r="M11" s="27"/>
      <c r="N11" s="1">
        <v>15</v>
      </c>
      <c r="O11" s="27">
        <f t="shared" si="1"/>
        <v>21144</v>
      </c>
      <c r="P11" s="27">
        <v>21144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19</v>
      </c>
      <c r="I12" s="1">
        <v>5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20</v>
      </c>
      <c r="I14" s="1">
        <v>12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31"/>
    </row>
    <row r="15" spans="1:18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16</v>
      </c>
      <c r="J15" s="26">
        <v>16</v>
      </c>
      <c r="K15" s="27">
        <f t="shared" si="2"/>
        <v>0</v>
      </c>
      <c r="L15" s="27"/>
      <c r="M15" s="27"/>
      <c r="N15" s="2">
        <v>11</v>
      </c>
      <c r="O15" s="27">
        <f t="shared" si="1"/>
        <v>12739.4</v>
      </c>
      <c r="P15" s="27">
        <v>12739.4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39</v>
      </c>
      <c r="I16" s="1">
        <v>39</v>
      </c>
      <c r="J16" s="26">
        <v>39</v>
      </c>
      <c r="K16" s="27">
        <f t="shared" si="2"/>
        <v>13586.04</v>
      </c>
      <c r="L16" s="27">
        <f>4556.63+4600.8+4428.61</f>
        <v>13586.04</v>
      </c>
      <c r="M16" s="27"/>
      <c r="N16" s="1">
        <v>21</v>
      </c>
      <c r="O16" s="27">
        <f t="shared" si="1"/>
        <v>47356.040000000008</v>
      </c>
      <c r="P16" s="27">
        <f>9373.48+1765.32+2881.47+14555.74+1792.06+3628.8+10310.59+3048.58</f>
        <v>47356.040000000008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35</v>
      </c>
      <c r="I20" s="1">
        <v>25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58770.28</v>
      </c>
      <c r="P20" s="27">
        <f>4072.37+2831.63+9295.25+1395.5+16947.28+5032.27+19195.98</f>
        <v>58770.28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6</v>
      </c>
      <c r="I22" s="2"/>
      <c r="J22" s="26"/>
      <c r="K22" s="27">
        <f t="shared" si="2"/>
        <v>0</v>
      </c>
      <c r="L22" s="27"/>
      <c r="M22" s="27"/>
      <c r="N22" s="2">
        <v>11</v>
      </c>
      <c r="O22" s="27">
        <f t="shared" si="1"/>
        <v>8281.4</v>
      </c>
      <c r="P22" s="27">
        <v>8281.4</v>
      </c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6214.5599999999995</v>
      </c>
      <c r="P23" s="27">
        <f>488.18+2791.37+2935.01</f>
        <v>6214.5599999999995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4086.08</v>
      </c>
      <c r="L26" s="27">
        <f>4086.08</f>
        <v>4086.08</v>
      </c>
      <c r="M26" s="27"/>
      <c r="N26" s="1">
        <v>3</v>
      </c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20</v>
      </c>
      <c r="I29" s="1">
        <v>11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14079.12</v>
      </c>
      <c r="P29" s="27">
        <f>1585.49+7579.12+718.9+1852.33+814.04+1529.24</f>
        <v>14079.12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17</v>
      </c>
      <c r="I32" s="1">
        <v>17</v>
      </c>
      <c r="J32" s="26">
        <v>12</v>
      </c>
      <c r="K32" s="27">
        <f t="shared" si="2"/>
        <v>6122.51</v>
      </c>
      <c r="L32" s="27">
        <f>1850.1+4272.41</f>
        <v>6122.51</v>
      </c>
      <c r="M32" s="27"/>
      <c r="N32" s="1">
        <v>13</v>
      </c>
      <c r="O32" s="27">
        <f t="shared" si="1"/>
        <v>30484.04</v>
      </c>
      <c r="P32" s="27">
        <f>8353.67+11335.86+6709.68+4084.83</f>
        <v>30484.04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5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11</v>
      </c>
      <c r="I35" s="1"/>
      <c r="J35" s="26"/>
      <c r="K35" s="27">
        <f t="shared" si="2"/>
        <v>0</v>
      </c>
      <c r="L35" s="27"/>
      <c r="M35" s="27"/>
      <c r="N35" s="1">
        <v>6</v>
      </c>
      <c r="O35" s="27">
        <f t="shared" si="1"/>
        <v>1233.4000000000001</v>
      </c>
      <c r="P35" s="27">
        <v>1233.4000000000001</v>
      </c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13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15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7136.1</v>
      </c>
      <c r="P37" s="27">
        <v>7136.1</v>
      </c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16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13</v>
      </c>
      <c r="I39" s="2">
        <v>2</v>
      </c>
      <c r="J39" s="26">
        <v>2</v>
      </c>
      <c r="K39" s="27">
        <f t="shared" si="2"/>
        <v>0</v>
      </c>
      <c r="L39" s="27"/>
      <c r="M39" s="27"/>
      <c r="N39" s="2">
        <v>8</v>
      </c>
      <c r="O39" s="27">
        <f t="shared" si="1"/>
        <v>2466.8000000000002</v>
      </c>
      <c r="P39" s="27">
        <v>2466.8000000000002</v>
      </c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8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6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11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23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8</v>
      </c>
      <c r="I45" s="1"/>
      <c r="J45" s="26"/>
      <c r="K45" s="27">
        <f t="shared" si="2"/>
        <v>0</v>
      </c>
      <c r="L45" s="27"/>
      <c r="M45" s="27"/>
      <c r="N45" s="1">
        <v>5</v>
      </c>
      <c r="O45" s="27">
        <f t="shared" si="1"/>
        <v>881</v>
      </c>
      <c r="P45" s="27">
        <v>881</v>
      </c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8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9</v>
      </c>
      <c r="I47" s="1"/>
      <c r="J47" s="26"/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15</v>
      </c>
      <c r="I48" s="1">
        <v>13</v>
      </c>
      <c r="J48" s="26">
        <v>12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12</v>
      </c>
      <c r="J50" s="26">
        <v>12</v>
      </c>
      <c r="K50" s="27">
        <f t="shared" si="2"/>
        <v>6913.6</v>
      </c>
      <c r="L50" s="27">
        <v>6913.6</v>
      </c>
      <c r="M50" s="27"/>
      <c r="N50" s="1">
        <v>7</v>
      </c>
      <c r="O50" s="27">
        <f t="shared" si="1"/>
        <v>21680.73</v>
      </c>
      <c r="P50" s="27">
        <f>6837.93+3382.02+3633.83+6541.43+1285.52</f>
        <v>21680.73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9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10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2819.2</v>
      </c>
      <c r="P54" s="27">
        <v>2819.2</v>
      </c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2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/>
      <c r="G56" s="23" t="s">
        <v>136</v>
      </c>
      <c r="H56" s="25">
        <v>11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14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34</v>
      </c>
      <c r="I59" s="26">
        <v>16</v>
      </c>
      <c r="J59" s="26">
        <v>16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30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20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19108.77</v>
      </c>
      <c r="P61" s="27">
        <f>3558.78+6542.54+4585.89+4121.56+300</f>
        <v>19108.77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17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13</v>
      </c>
      <c r="J63" s="26">
        <v>11</v>
      </c>
      <c r="K63" s="27">
        <f t="shared" si="2"/>
        <v>0</v>
      </c>
      <c r="L63" s="27"/>
      <c r="M63" s="27"/>
      <c r="N63" s="1">
        <v>20</v>
      </c>
      <c r="O63" s="27">
        <f t="shared" si="1"/>
        <v>21556.080000000002</v>
      </c>
      <c r="P63" s="27">
        <f>3793.8+8092.08+9670.2</f>
        <v>21556.080000000002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8</v>
      </c>
      <c r="J64" s="26">
        <v>8</v>
      </c>
      <c r="K64" s="27">
        <f t="shared" si="2"/>
        <v>0</v>
      </c>
      <c r="L64" s="27"/>
      <c r="M64" s="27"/>
      <c r="N64" s="1">
        <v>19</v>
      </c>
      <c r="O64" s="27">
        <f t="shared" si="1"/>
        <v>8299.02</v>
      </c>
      <c r="P64" s="27">
        <v>8299.02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16</v>
      </c>
      <c r="I65" s="1">
        <v>7</v>
      </c>
      <c r="J65" s="26">
        <v>7</v>
      </c>
      <c r="K65" s="27">
        <f t="shared" si="2"/>
        <v>0</v>
      </c>
      <c r="L65" s="27"/>
      <c r="M65" s="27"/>
      <c r="N65" s="1">
        <v>7</v>
      </c>
      <c r="O65" s="27">
        <f t="shared" si="1"/>
        <v>7690.6</v>
      </c>
      <c r="P65" s="27">
        <f>1487.48+1918.48+4284.64</f>
        <v>7690.6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17337.38</v>
      </c>
      <c r="P66" s="27">
        <f>1353.94+9352.06+1852.4+3552.19+1226.79</f>
        <v>17337.38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12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11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22</v>
      </c>
      <c r="I70" s="2">
        <v>14</v>
      </c>
      <c r="J70" s="26">
        <v>13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30</v>
      </c>
      <c r="I71" s="1">
        <v>17</v>
      </c>
      <c r="J71" s="26">
        <v>17</v>
      </c>
      <c r="K71" s="27">
        <f t="shared" si="2"/>
        <v>2199.6799999999998</v>
      </c>
      <c r="L71" s="27">
        <f>2199.68</f>
        <v>2199.6799999999998</v>
      </c>
      <c r="M71" s="27"/>
      <c r="N71" s="1">
        <v>17</v>
      </c>
      <c r="O71" s="27">
        <f t="shared" si="1"/>
        <v>87678.12</v>
      </c>
      <c r="P71" s="27">
        <f>8536.41+1900.55+1810.72+5409.65+1602.49+6411.71+6033.69+27487.21+5155.58+12470.56+10859.55</f>
        <v>87678.12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26</v>
      </c>
      <c r="I73" s="1">
        <v>16</v>
      </c>
      <c r="J73" s="26">
        <v>13</v>
      </c>
      <c r="K73" s="27">
        <f t="shared" si="2"/>
        <v>3339.42</v>
      </c>
      <c r="L73" s="27">
        <f>607.08+2732.34</f>
        <v>3339.42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277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10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28363.64</v>
      </c>
      <c r="P75" s="27">
        <v>28363.64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292</v>
      </c>
      <c r="G76" s="23" t="s">
        <v>210</v>
      </c>
      <c r="H76" s="25">
        <v>4</v>
      </c>
      <c r="I76" s="1">
        <v>2</v>
      </c>
      <c r="J76" s="26">
        <v>2</v>
      </c>
      <c r="K76" s="27">
        <f t="shared" si="2"/>
        <v>0</v>
      </c>
      <c r="L76" s="27"/>
      <c r="M76" s="27"/>
      <c r="N76" s="1">
        <v>10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15</v>
      </c>
      <c r="I77" s="1">
        <v>6</v>
      </c>
      <c r="J77" s="26">
        <v>6</v>
      </c>
      <c r="K77" s="27">
        <f t="shared" si="2"/>
        <v>4400.6000000000004</v>
      </c>
      <c r="L77" s="27">
        <v>4400.6000000000004</v>
      </c>
      <c r="M77" s="27"/>
      <c r="N77" s="1">
        <v>16</v>
      </c>
      <c r="O77" s="27">
        <f t="shared" si="1"/>
        <v>46129.759999999995</v>
      </c>
      <c r="P77" s="27">
        <f>5457.7+9775.17+3631.18+27265.71</f>
        <v>46129.759999999995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14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8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8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50</v>
      </c>
      <c r="I83" s="1">
        <v>28</v>
      </c>
      <c r="J83" s="26">
        <v>28</v>
      </c>
      <c r="K83" s="27">
        <f t="shared" si="2"/>
        <v>5547.55</v>
      </c>
      <c r="L83" s="27">
        <f>5547.55</f>
        <v>5547.55</v>
      </c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4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31</v>
      </c>
      <c r="I86" s="1">
        <v>28</v>
      </c>
      <c r="J86" s="26">
        <v>28</v>
      </c>
      <c r="K86" s="27">
        <f t="shared" ref="K86:K154" si="3">L86+M86</f>
        <v>12507.07</v>
      </c>
      <c r="L86" s="27">
        <f>5061.86+7445.21</f>
        <v>12507.07</v>
      </c>
      <c r="M86" s="27"/>
      <c r="N86" s="1">
        <v>13</v>
      </c>
      <c r="O86" s="27">
        <f t="shared" si="1"/>
        <v>17059.530000000002</v>
      </c>
      <c r="P86" s="27">
        <f>1369.13+3431.04+7740.64+2536.47+920.62+1061.63</f>
        <v>17059.530000000002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9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3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4</v>
      </c>
      <c r="J92" s="26">
        <v>4</v>
      </c>
      <c r="K92" s="27">
        <f t="shared" si="3"/>
        <v>0</v>
      </c>
      <c r="L92" s="27"/>
      <c r="M92" s="27"/>
      <c r="N92" s="2">
        <v>17</v>
      </c>
      <c r="O92" s="27">
        <f t="shared" si="1"/>
        <v>2819.2</v>
      </c>
      <c r="P92" s="27">
        <v>2819.2</v>
      </c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2</v>
      </c>
      <c r="O93" s="27">
        <f t="shared" ref="O93:O192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9</v>
      </c>
      <c r="I95" s="1">
        <v>7</v>
      </c>
      <c r="J95" s="26">
        <v>7</v>
      </c>
      <c r="K95" s="27">
        <f t="shared" si="3"/>
        <v>2262.4</v>
      </c>
      <c r="L95" s="27">
        <v>2262.4</v>
      </c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10878.949999999999</v>
      </c>
      <c r="P96" s="27">
        <f>1647.47+9231.48</f>
        <v>10878.949999999999</v>
      </c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21</v>
      </c>
      <c r="I101" s="1">
        <v>12</v>
      </c>
      <c r="J101" s="26">
        <v>12</v>
      </c>
      <c r="K101" s="27">
        <f t="shared" si="3"/>
        <v>2177.83</v>
      </c>
      <c r="L101" s="27">
        <f>2177.83</f>
        <v>2177.83</v>
      </c>
      <c r="M101" s="27"/>
      <c r="N101" s="1">
        <v>10</v>
      </c>
      <c r="O101" s="27">
        <f t="shared" si="4"/>
        <v>28784.010000000002</v>
      </c>
      <c r="P101" s="27">
        <f>8926.48+3667.84+9102.27+7087.42</f>
        <v>28784.010000000002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12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13</v>
      </c>
      <c r="I103" s="1">
        <v>1</v>
      </c>
      <c r="J103" s="26">
        <v>1</v>
      </c>
      <c r="K103" s="27">
        <f t="shared" si="3"/>
        <v>1057.2</v>
      </c>
      <c r="L103" s="27">
        <v>1057.2</v>
      </c>
      <c r="M103" s="27"/>
      <c r="N103" s="1"/>
      <c r="O103" s="27">
        <f t="shared" si="4"/>
        <v>0</v>
      </c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467</v>
      </c>
      <c r="G104" s="23" t="s">
        <v>136</v>
      </c>
      <c r="H104" s="25">
        <v>25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15</v>
      </c>
      <c r="I105" s="1">
        <v>17</v>
      </c>
      <c r="J105" s="26">
        <v>17</v>
      </c>
      <c r="K105" s="27">
        <f t="shared" si="3"/>
        <v>2637.71</v>
      </c>
      <c r="L105" s="27">
        <f>977.91+1659.8</f>
        <v>2637.71</v>
      </c>
      <c r="M105" s="27"/>
      <c r="N105" s="1">
        <v>18</v>
      </c>
      <c r="O105" s="27">
        <f>P105+Q105</f>
        <v>81455.08</v>
      </c>
      <c r="P105" s="27">
        <f>7142.66+6007.6+11985.28+16853.32+13359.63+12185.56+13921.03</f>
        <v>81455.08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16</v>
      </c>
      <c r="I106" s="1">
        <v>4</v>
      </c>
      <c r="J106" s="26">
        <v>4</v>
      </c>
      <c r="K106" s="27">
        <f t="shared" si="3"/>
        <v>0</v>
      </c>
      <c r="L106" s="27"/>
      <c r="M106" s="27"/>
      <c r="N106" s="1">
        <v>15</v>
      </c>
      <c r="O106" s="27">
        <f>P106+Q106</f>
        <v>10660.1</v>
      </c>
      <c r="P106" s="27">
        <v>10660.1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22</v>
      </c>
      <c r="I107" s="2">
        <v>3</v>
      </c>
      <c r="J107" s="26">
        <v>3</v>
      </c>
      <c r="K107" s="27">
        <f t="shared" si="3"/>
        <v>0</v>
      </c>
      <c r="L107" s="27"/>
      <c r="M107" s="27"/>
      <c r="N107" s="2">
        <v>26</v>
      </c>
      <c r="O107" s="27">
        <f>P107+Q107</f>
        <v>42079.31</v>
      </c>
      <c r="P107" s="35">
        <v>42079.31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>
        <v>1</v>
      </c>
      <c r="J109" s="26">
        <v>1</v>
      </c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8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3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17</v>
      </c>
      <c r="I111" s="2">
        <v>12</v>
      </c>
      <c r="J111" s="26">
        <v>10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13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10</v>
      </c>
      <c r="I113" s="2">
        <v>1</v>
      </c>
      <c r="J113" s="26">
        <v>1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24</v>
      </c>
      <c r="I114" s="1">
        <v>21</v>
      </c>
      <c r="J114" s="26">
        <v>19</v>
      </c>
      <c r="K114" s="27">
        <f t="shared" si="3"/>
        <v>17351.93</v>
      </c>
      <c r="L114" s="27">
        <f>6292.32+11059.61</f>
        <v>17351.93</v>
      </c>
      <c r="M114" s="27"/>
      <c r="N114" s="1">
        <v>9</v>
      </c>
      <c r="O114" s="27">
        <f t="shared" si="4"/>
        <v>25029.530000000002</v>
      </c>
      <c r="P114" s="27">
        <f>3646.63+15405.61+207.55+4651.68+1118.06</f>
        <v>25029.530000000002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21</v>
      </c>
      <c r="I118" s="1">
        <v>20</v>
      </c>
      <c r="J118" s="26">
        <v>20</v>
      </c>
      <c r="K118" s="27">
        <f t="shared" si="3"/>
        <v>13736.86</v>
      </c>
      <c r="L118" s="27">
        <f>868.67+12868.19</f>
        <v>13736.86</v>
      </c>
      <c r="M118" s="27"/>
      <c r="N118" s="1">
        <v>12</v>
      </c>
      <c r="O118" s="27">
        <f t="shared" si="4"/>
        <v>34241.86</v>
      </c>
      <c r="P118" s="27">
        <f>3333.95+1419.74+6665.65+8634.68+1726.54+12461.3</f>
        <v>34241.86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18</v>
      </c>
      <c r="I120" s="1">
        <v>3</v>
      </c>
      <c r="J120" s="26">
        <v>3</v>
      </c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21</v>
      </c>
      <c r="I122" s="1">
        <v>6</v>
      </c>
      <c r="J122" s="26">
        <v>6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7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11</v>
      </c>
      <c r="I124" s="1">
        <v>5</v>
      </c>
      <c r="J124" s="26">
        <v>5</v>
      </c>
      <c r="K124" s="27">
        <f t="shared" si="3"/>
        <v>0</v>
      </c>
      <c r="L124" s="27"/>
      <c r="M124" s="27"/>
      <c r="N124" s="1">
        <v>6</v>
      </c>
      <c r="O124" s="27">
        <f t="shared" si="4"/>
        <v>7736.87</v>
      </c>
      <c r="P124" s="27">
        <f>2479.17+3260.79+1996.91</f>
        <v>7736.87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3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19</v>
      </c>
      <c r="I126" s="1">
        <v>16</v>
      </c>
      <c r="J126" s="26">
        <v>16</v>
      </c>
      <c r="K126" s="27">
        <f t="shared" si="3"/>
        <v>4799.6900000000005</v>
      </c>
      <c r="L126" s="27">
        <f>2262.41+2537.28</f>
        <v>4799.6900000000005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295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44</v>
      </c>
      <c r="I128" s="1">
        <v>39</v>
      </c>
      <c r="J128" s="26">
        <v>39</v>
      </c>
      <c r="K128" s="27">
        <f t="shared" si="3"/>
        <v>14837.82</v>
      </c>
      <c r="L128" s="27">
        <f>4622.62+10215.2</f>
        <v>14837.82</v>
      </c>
      <c r="M128" s="27"/>
      <c r="N128" s="1">
        <v>13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298</v>
      </c>
      <c r="G129" s="23" t="s">
        <v>131</v>
      </c>
      <c r="H129" s="25">
        <v>11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21</v>
      </c>
      <c r="I130" s="1">
        <v>18</v>
      </c>
      <c r="J130" s="26">
        <v>18</v>
      </c>
      <c r="K130" s="27">
        <f t="shared" si="3"/>
        <v>6912.33</v>
      </c>
      <c r="L130" s="27">
        <f>1150.59+5761.74</f>
        <v>6912.33</v>
      </c>
      <c r="M130" s="27"/>
      <c r="N130" s="1">
        <v>10</v>
      </c>
      <c r="O130" s="27">
        <f t="shared" si="4"/>
        <v>16519.240000000002</v>
      </c>
      <c r="P130" s="27">
        <f>919.46+2791.44+2825.9+1143.1+4609.59+4061.35+168.4</f>
        <v>16519.240000000002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37" t="s">
        <v>468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22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23205.66</v>
      </c>
      <c r="P132" s="27">
        <f>6606.63+11561.65+5037.38</f>
        <v>23205.66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36</v>
      </c>
      <c r="I133" s="1">
        <v>7</v>
      </c>
      <c r="J133" s="26">
        <v>7</v>
      </c>
      <c r="K133" s="27">
        <f t="shared" si="3"/>
        <v>0</v>
      </c>
      <c r="L133" s="27"/>
      <c r="M133" s="27"/>
      <c r="N133" s="1">
        <v>17</v>
      </c>
      <c r="O133" s="27">
        <f t="shared" si="4"/>
        <v>3039.46</v>
      </c>
      <c r="P133" s="27">
        <v>3039.46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21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22081.42</v>
      </c>
      <c r="P134" s="27">
        <f>1359.87+2464.36+5364.57+11322.68+1569.94</f>
        <v>22081.42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4</v>
      </c>
      <c r="I135" s="1">
        <v>1</v>
      </c>
      <c r="J135" s="26">
        <v>1</v>
      </c>
      <c r="K135" s="27">
        <f t="shared" si="3"/>
        <v>0</v>
      </c>
      <c r="L135" s="27"/>
      <c r="M135" s="27"/>
      <c r="N135" s="1">
        <v>3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22</v>
      </c>
      <c r="I137" s="1">
        <v>3</v>
      </c>
      <c r="J137" s="26">
        <v>3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15</v>
      </c>
      <c r="I138" s="1">
        <v>11</v>
      </c>
      <c r="J138" s="26">
        <v>9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13</v>
      </c>
      <c r="I139" s="1"/>
      <c r="J139" s="26"/>
      <c r="K139" s="27">
        <f t="shared" si="3"/>
        <v>0</v>
      </c>
      <c r="L139" s="27"/>
      <c r="M139" s="27"/>
      <c r="N139" s="1">
        <v>6</v>
      </c>
      <c r="O139" s="27">
        <f t="shared" si="4"/>
        <v>2819.2</v>
      </c>
      <c r="P139" s="36">
        <v>2819.2</v>
      </c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11</v>
      </c>
      <c r="I140" s="1">
        <v>6</v>
      </c>
      <c r="J140" s="26">
        <v>6</v>
      </c>
      <c r="K140" s="27">
        <f t="shared" si="3"/>
        <v>1251.72</v>
      </c>
      <c r="L140" s="27">
        <f>1251.72</f>
        <v>1251.72</v>
      </c>
      <c r="M140" s="27"/>
      <c r="N140" s="1">
        <v>4</v>
      </c>
      <c r="O140" s="27">
        <f t="shared" si="4"/>
        <v>9882.14</v>
      </c>
      <c r="P140" s="27">
        <f>886.32+5410.33+3585.49</f>
        <v>9882.14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292</v>
      </c>
      <c r="G141" s="23" t="s">
        <v>142</v>
      </c>
      <c r="H141" s="25">
        <v>12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21863.360000000001</v>
      </c>
      <c r="P141" s="27">
        <f>8438.22+13425.14</f>
        <v>21863.360000000001</v>
      </c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123</v>
      </c>
      <c r="G142" s="23" t="s">
        <v>136</v>
      </c>
      <c r="H142" s="25">
        <v>3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261</v>
      </c>
      <c r="G145" s="23" t="s">
        <v>122</v>
      </c>
      <c r="H145" s="25">
        <v>9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11</v>
      </c>
      <c r="I146" s="1">
        <v>5</v>
      </c>
      <c r="J146" s="26">
        <v>5</v>
      </c>
      <c r="K146" s="27">
        <f t="shared" si="3"/>
        <v>2702.63</v>
      </c>
      <c r="L146" s="27">
        <f>1279.21+1423.42</f>
        <v>2702.63</v>
      </c>
      <c r="M146" s="27"/>
      <c r="N146" s="1">
        <v>2</v>
      </c>
      <c r="O146" s="27">
        <f t="shared" si="4"/>
        <v>2640.13</v>
      </c>
      <c r="P146" s="27">
        <f>486.08+2154.05</f>
        <v>2640.13</v>
      </c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22</v>
      </c>
      <c r="I148" s="1">
        <v>3</v>
      </c>
      <c r="J148" s="26">
        <v>3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34</v>
      </c>
      <c r="I149" s="1">
        <v>34</v>
      </c>
      <c r="J149" s="26">
        <v>34</v>
      </c>
      <c r="K149" s="27">
        <f t="shared" si="3"/>
        <v>4012.07</v>
      </c>
      <c r="L149" s="27">
        <f>4012.07</f>
        <v>4012.07</v>
      </c>
      <c r="M149" s="27"/>
      <c r="N149" s="1">
        <v>10</v>
      </c>
      <c r="O149" s="27">
        <f t="shared" si="4"/>
        <v>13489.94</v>
      </c>
      <c r="P149" s="27">
        <f>5675.37+2740.58+5073.99</f>
        <v>13489.94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10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>
        <v>2</v>
      </c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4</v>
      </c>
      <c r="J154" s="26">
        <v>4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>
        <v>1</v>
      </c>
      <c r="J155" s="26">
        <v>1</v>
      </c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6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14</v>
      </c>
      <c r="I157" s="1">
        <v>14</v>
      </c>
      <c r="J157" s="26">
        <v>14</v>
      </c>
      <c r="K157" s="27">
        <f t="shared" si="6"/>
        <v>12007.23</v>
      </c>
      <c r="L157" s="27">
        <f>4990.06+7017.17</f>
        <v>12007.23</v>
      </c>
      <c r="M157" s="27"/>
      <c r="N157" s="1">
        <v>7</v>
      </c>
      <c r="O157" s="27">
        <f t="shared" si="4"/>
        <v>15710.62</v>
      </c>
      <c r="P157" s="27">
        <f>887.45+1225.31+5357.66+6830.6+1409.6</f>
        <v>15710.62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2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8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12670.26</v>
      </c>
      <c r="P163" s="27">
        <f>1061.97+8854.17+2222.88+531.24</f>
        <v>12670.26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8</v>
      </c>
      <c r="I165" s="40">
        <v>4</v>
      </c>
      <c r="J165" s="43">
        <v>4</v>
      </c>
      <c r="K165" s="39">
        <v>0</v>
      </c>
      <c r="L165" s="39"/>
      <c r="M165" s="39"/>
      <c r="N165" s="40"/>
      <c r="O165" s="39"/>
      <c r="P165" s="39"/>
      <c r="Q165" s="39"/>
      <c r="R165" s="31"/>
    </row>
    <row r="166" spans="1:1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15</v>
      </c>
      <c r="I166" s="1">
        <v>3</v>
      </c>
      <c r="J166" s="26">
        <v>3</v>
      </c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11</v>
      </c>
      <c r="I167" s="1">
        <v>1</v>
      </c>
      <c r="J167" s="26">
        <v>1</v>
      </c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298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31"/>
    </row>
    <row r="170" spans="1:1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465</v>
      </c>
      <c r="G170" s="23" t="s">
        <v>136</v>
      </c>
      <c r="H170" s="25">
        <v>13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10</v>
      </c>
      <c r="I171" s="1">
        <v>2</v>
      </c>
      <c r="J171" s="26">
        <v>2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18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10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14</v>
      </c>
      <c r="I173" s="1">
        <v>2</v>
      </c>
      <c r="J173" s="26"/>
      <c r="K173" s="27">
        <f t="shared" si="6"/>
        <v>0</v>
      </c>
      <c r="L173" s="27"/>
      <c r="M173" s="27"/>
      <c r="N173" s="1"/>
      <c r="O173" s="27">
        <f t="shared" si="4"/>
        <v>23296.730000000003</v>
      </c>
      <c r="P173" s="27">
        <f>4712.69+2993.76+7569.59+911.84+7108.85</f>
        <v>23296.730000000003</v>
      </c>
      <c r="Q173" s="27"/>
      <c r="R173" s="31"/>
    </row>
    <row r="174" spans="1:1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9</v>
      </c>
      <c r="I174" s="1">
        <v>6</v>
      </c>
      <c r="J174" s="26">
        <v>6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6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18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18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31"/>
    </row>
    <row r="178" spans="1:1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464</v>
      </c>
      <c r="G178" s="23" t="s">
        <v>136</v>
      </c>
      <c r="H178" s="25">
        <v>12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19</v>
      </c>
      <c r="O178" s="27">
        <f t="shared" si="4"/>
        <v>6343.2</v>
      </c>
      <c r="P178" s="27">
        <v>6343.2</v>
      </c>
      <c r="Q178" s="27"/>
      <c r="R178" s="31"/>
    </row>
    <row r="179" spans="1:1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27</v>
      </c>
      <c r="I179" s="1">
        <v>23</v>
      </c>
      <c r="J179" s="26">
        <v>20</v>
      </c>
      <c r="K179" s="27">
        <f t="shared" si="6"/>
        <v>13481.74</v>
      </c>
      <c r="L179" s="27">
        <f>13481.74</f>
        <v>13481.74</v>
      </c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31"/>
    </row>
    <row r="180" spans="1:18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12</v>
      </c>
      <c r="I180" s="1"/>
      <c r="J180" s="26"/>
      <c r="K180" s="27">
        <f t="shared" si="6"/>
        <v>0</v>
      </c>
      <c r="L180" s="27"/>
      <c r="M180" s="27"/>
      <c r="N180" s="1">
        <v>7</v>
      </c>
      <c r="O180" s="27">
        <f t="shared" si="4"/>
        <v>2942.54</v>
      </c>
      <c r="P180" s="27">
        <v>2942.54</v>
      </c>
      <c r="Q180" s="27"/>
      <c r="R180" s="31"/>
    </row>
    <row r="181" spans="1:18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291</v>
      </c>
      <c r="G181" s="23" t="s">
        <v>142</v>
      </c>
      <c r="H181" s="25">
        <v>6</v>
      </c>
      <c r="I181" s="1">
        <v>2</v>
      </c>
      <c r="J181" s="26">
        <v>1</v>
      </c>
      <c r="K181" s="27">
        <f t="shared" si="6"/>
        <v>0</v>
      </c>
      <c r="L181" s="27"/>
      <c r="M181" s="27"/>
      <c r="N181" s="1">
        <v>3</v>
      </c>
      <c r="O181" s="27">
        <f t="shared" si="4"/>
        <v>14026.97</v>
      </c>
      <c r="P181" s="27">
        <f>2891.29+9127.51+1007.87+1000.3</f>
        <v>14026.97</v>
      </c>
      <c r="Q181" s="27"/>
      <c r="R181" s="31"/>
    </row>
    <row r="182" spans="1:1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42</v>
      </c>
      <c r="I182" s="1">
        <v>31</v>
      </c>
      <c r="J182" s="26">
        <v>31</v>
      </c>
      <c r="K182" s="27">
        <f t="shared" si="6"/>
        <v>11917.66</v>
      </c>
      <c r="L182" s="27">
        <f>2547.86+9369.8</f>
        <v>11917.66</v>
      </c>
      <c r="M182" s="27"/>
      <c r="N182" s="1">
        <v>18</v>
      </c>
      <c r="O182" s="27">
        <f t="shared" si="4"/>
        <v>73939.81</v>
      </c>
      <c r="P182" s="27">
        <f>8759.8+505.2+4743.98+1370.7+8567.35+22476.66+1292.01+10655.62+4946.22+5457.87+5164.4</f>
        <v>73939.81</v>
      </c>
      <c r="Q182" s="27"/>
      <c r="R182" s="31"/>
    </row>
    <row r="183" spans="1:18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26</v>
      </c>
      <c r="I183" s="1">
        <v>4</v>
      </c>
      <c r="J183" s="26">
        <v>4</v>
      </c>
      <c r="K183" s="27">
        <f t="shared" si="6"/>
        <v>0</v>
      </c>
      <c r="L183" s="27"/>
      <c r="M183" s="27"/>
      <c r="N183" s="1">
        <v>16</v>
      </c>
      <c r="O183" s="27">
        <f t="shared" si="4"/>
        <v>13923.82</v>
      </c>
      <c r="P183" s="27">
        <v>13923.82</v>
      </c>
      <c r="Q183" s="27"/>
      <c r="R183" s="31"/>
    </row>
    <row r="184" spans="1:1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31"/>
    </row>
    <row r="185" spans="1:1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466</v>
      </c>
      <c r="G185" s="23" t="s">
        <v>136</v>
      </c>
      <c r="H185" s="25">
        <v>7</v>
      </c>
      <c r="I185" s="2"/>
      <c r="J185" s="26"/>
      <c r="K185" s="27">
        <f t="shared" si="6"/>
        <v>0</v>
      </c>
      <c r="L185" s="27"/>
      <c r="M185" s="27"/>
      <c r="N185" s="2">
        <v>2</v>
      </c>
      <c r="O185" s="27">
        <f t="shared" si="4"/>
        <v>0</v>
      </c>
      <c r="P185" s="27"/>
      <c r="Q185" s="27"/>
      <c r="R185" s="31"/>
    </row>
    <row r="186" spans="1:1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660.75</v>
      </c>
      <c r="P186" s="27">
        <f>660.75</f>
        <v>660.75</v>
      </c>
      <c r="Q186" s="27"/>
      <c r="R186" s="31"/>
    </row>
    <row r="187" spans="1:1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469</v>
      </c>
      <c r="G187" s="23" t="s">
        <v>122</v>
      </c>
      <c r="H187" s="25">
        <v>25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17</v>
      </c>
      <c r="O187" s="27">
        <f t="shared" si="4"/>
        <v>39483.94</v>
      </c>
      <c r="P187" s="27">
        <v>39483.94</v>
      </c>
      <c r="Q187" s="27"/>
      <c r="R187" s="31"/>
    </row>
    <row r="188" spans="1:1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9</v>
      </c>
      <c r="I188" s="1">
        <v>2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31"/>
    </row>
    <row r="189" spans="1:1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11</v>
      </c>
      <c r="I189" s="2">
        <v>3</v>
      </c>
      <c r="J189" s="26">
        <v>3</v>
      </c>
      <c r="K189" s="27">
        <f t="shared" si="6"/>
        <v>0</v>
      </c>
      <c r="L189" s="27"/>
      <c r="M189" s="27"/>
      <c r="N189" s="2">
        <v>6</v>
      </c>
      <c r="O189" s="27">
        <f t="shared" si="4"/>
        <v>17972.400000000001</v>
      </c>
      <c r="P189" s="27">
        <v>17972.400000000001</v>
      </c>
      <c r="Q189" s="27"/>
      <c r="R189" s="31"/>
    </row>
    <row r="190" spans="1:1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22</v>
      </c>
      <c r="I190" s="2">
        <v>20</v>
      </c>
      <c r="J190" s="26">
        <v>19</v>
      </c>
      <c r="K190" s="27">
        <f>L190+M190</f>
        <v>7701.71</v>
      </c>
      <c r="L190" s="27">
        <f>7701.71</f>
        <v>7701.71</v>
      </c>
      <c r="M190" s="27"/>
      <c r="N190" s="2"/>
      <c r="O190" s="27"/>
      <c r="P190" s="27"/>
      <c r="Q190" s="27"/>
      <c r="R190" s="31"/>
    </row>
    <row r="191" spans="1:1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31"/>
    </row>
    <row r="192" spans="1:1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31"/>
    </row>
    <row r="193" spans="1:19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31"/>
    </row>
    <row r="194" spans="1:19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31"/>
    </row>
    <row r="195" spans="1:19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34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5</v>
      </c>
      <c r="O195" s="27">
        <f t="shared" si="7"/>
        <v>14077.71</v>
      </c>
      <c r="P195" s="27">
        <v>14077.71</v>
      </c>
      <c r="Q195" s="27"/>
      <c r="R195" s="31"/>
    </row>
    <row r="196" spans="1:19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31"/>
    </row>
    <row r="197" spans="1:19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20</v>
      </c>
      <c r="I197" s="1">
        <v>12</v>
      </c>
      <c r="J197" s="44">
        <v>12</v>
      </c>
      <c r="K197" s="27">
        <f t="shared" si="6"/>
        <v>0</v>
      </c>
      <c r="L197" s="27"/>
      <c r="M197" s="27"/>
      <c r="N197" s="1">
        <v>25</v>
      </c>
      <c r="O197" s="27">
        <f t="shared" si="7"/>
        <v>33365.57</v>
      </c>
      <c r="P197" s="27">
        <f>2707.13+2929.33+825.14+2229.94+21058.63+3615.4</f>
        <v>33365.57</v>
      </c>
      <c r="Q197" s="27"/>
      <c r="R197" s="31"/>
    </row>
    <row r="198" spans="1:19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31"/>
    </row>
    <row r="199" spans="1:19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31"/>
    </row>
    <row r="200" spans="1:19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10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31"/>
    </row>
    <row r="201" spans="1:19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3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31"/>
    </row>
    <row r="202" spans="1:19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3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31"/>
    </row>
    <row r="203" spans="1:19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2001</v>
      </c>
      <c r="I203" s="88">
        <f>SUM(I10:I202)</f>
        <v>885</v>
      </c>
      <c r="J203" s="88">
        <f>SUM(J10:J202)</f>
        <v>860</v>
      </c>
      <c r="K203" s="90">
        <f>SUM(K10:K202)</f>
        <v>238020.1</v>
      </c>
      <c r="L203" s="90">
        <f t="shared" ref="L203:Q203" si="8">SUM(L10:L202)</f>
        <v>238020.1</v>
      </c>
      <c r="M203" s="88">
        <f t="shared" si="8"/>
        <v>0</v>
      </c>
      <c r="N203" s="88">
        <f t="shared" si="8"/>
        <v>925</v>
      </c>
      <c r="O203" s="90">
        <f>SUM(O10:O202)</f>
        <v>1529382.69</v>
      </c>
      <c r="P203" s="90">
        <f>SUM(P10:P202)</f>
        <v>1529382.69</v>
      </c>
      <c r="Q203" s="88">
        <f t="shared" si="8"/>
        <v>0</v>
      </c>
      <c r="R203" s="31"/>
    </row>
    <row r="204" spans="1:19" ht="15" customHeight="1">
      <c r="A204" s="24"/>
      <c r="B204" s="23"/>
      <c r="C204" s="24"/>
      <c r="D204" s="23"/>
      <c r="E204" s="23"/>
      <c r="F204" s="23"/>
      <c r="G204" s="23"/>
      <c r="H204" s="98"/>
      <c r="I204" s="98"/>
      <c r="J204" s="98"/>
      <c r="K204" s="98"/>
      <c r="L204" s="98"/>
      <c r="M204" s="98"/>
      <c r="N204" s="98"/>
      <c r="O204" s="98"/>
      <c r="P204" s="24"/>
      <c r="Q204" s="24"/>
      <c r="R204" s="31"/>
    </row>
    <row r="205" spans="1:19">
      <c r="R205" s="31"/>
    </row>
    <row r="206" spans="1:19">
      <c r="K206" s="31"/>
      <c r="L206" s="31"/>
      <c r="M206" s="31"/>
    </row>
    <row r="207" spans="1:19">
      <c r="K207" s="31"/>
      <c r="L207" s="31"/>
      <c r="N207" s="31"/>
      <c r="O207" s="31"/>
    </row>
    <row r="208" spans="1:19">
      <c r="K208" s="31"/>
      <c r="L208" s="31"/>
      <c r="M208" s="31"/>
      <c r="N208" s="31"/>
      <c r="O208" s="31"/>
      <c r="P208" s="31"/>
      <c r="Q208" s="31"/>
      <c r="S208" s="31"/>
    </row>
    <row r="209" spans="11:19">
      <c r="K209" s="31"/>
      <c r="L209" s="31"/>
      <c r="M209" s="31"/>
      <c r="N209" s="31"/>
      <c r="O209" s="31"/>
      <c r="P209" s="31"/>
      <c r="Q209" s="31"/>
    </row>
    <row r="210" spans="11:19">
      <c r="K210" s="31"/>
      <c r="L210" s="31"/>
      <c r="M210" s="31"/>
      <c r="N210" s="31"/>
      <c r="O210" s="31"/>
      <c r="P210" s="31"/>
      <c r="Q210" s="31"/>
    </row>
    <row r="211" spans="11:19">
      <c r="K211" s="31"/>
      <c r="L211" s="31"/>
      <c r="M211" s="31"/>
      <c r="N211" s="31"/>
      <c r="O211" s="31"/>
      <c r="P211" s="31"/>
      <c r="Q211" s="31"/>
    </row>
    <row r="212" spans="11:19">
      <c r="K212" s="31"/>
      <c r="L212" s="31"/>
      <c r="M212" s="31"/>
      <c r="N212" s="31"/>
      <c r="O212" s="31"/>
      <c r="P212" s="31"/>
      <c r="Q212" s="31"/>
      <c r="S212" s="31"/>
    </row>
    <row r="214" spans="11:19">
      <c r="K214" s="31"/>
      <c r="O214" s="31"/>
      <c r="P214" s="31"/>
    </row>
    <row r="217" spans="11:19">
      <c r="O217" s="31"/>
    </row>
    <row r="218" spans="11:19">
      <c r="L218" s="31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218"/>
  <sheetViews>
    <sheetView topLeftCell="A172" zoomScale="78" zoomScaleNormal="78" workbookViewId="0">
      <selection activeCell="A187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18</v>
      </c>
      <c r="I11" s="1">
        <v>8</v>
      </c>
      <c r="J11" s="26">
        <v>8</v>
      </c>
      <c r="K11" s="27">
        <f t="shared" ref="K11:K85" si="2">L11+M11</f>
        <v>0</v>
      </c>
      <c r="L11" s="27"/>
      <c r="M11" s="27"/>
      <c r="N11" s="1">
        <v>15</v>
      </c>
      <c r="O11" s="27">
        <f t="shared" si="1"/>
        <v>21144</v>
      </c>
      <c r="P11" s="27">
        <v>21144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19</v>
      </c>
      <c r="I12" s="1">
        <v>5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21</v>
      </c>
      <c r="I14" s="1">
        <v>12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31"/>
    </row>
    <row r="15" spans="1:18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16</v>
      </c>
      <c r="J15" s="26">
        <v>16</v>
      </c>
      <c r="K15" s="27">
        <f t="shared" si="2"/>
        <v>0</v>
      </c>
      <c r="L15" s="27"/>
      <c r="M15" s="27"/>
      <c r="N15" s="2">
        <v>11</v>
      </c>
      <c r="O15" s="27">
        <f t="shared" si="1"/>
        <v>12739.4</v>
      </c>
      <c r="P15" s="27">
        <v>12739.4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40</v>
      </c>
      <c r="I16" s="1">
        <v>39</v>
      </c>
      <c r="J16" s="26">
        <v>39</v>
      </c>
      <c r="K16" s="27">
        <f t="shared" si="2"/>
        <v>13586.04</v>
      </c>
      <c r="L16" s="27">
        <f>4556.63+4600.8+4428.61</f>
        <v>13586.04</v>
      </c>
      <c r="M16" s="27"/>
      <c r="N16" s="1">
        <v>21</v>
      </c>
      <c r="O16" s="27">
        <f t="shared" si="1"/>
        <v>47356.040000000008</v>
      </c>
      <c r="P16" s="27">
        <f>9373.48+1765.32+2881.47+14555.74+1792.06+3628.8+10310.59+3048.58</f>
        <v>47356.040000000008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35</v>
      </c>
      <c r="I20" s="1">
        <v>25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58770.28</v>
      </c>
      <c r="P20" s="27">
        <f>4072.37+2831.63+9295.25+1395.5+16947.28+5032.27+19195.98</f>
        <v>58770.28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7</v>
      </c>
      <c r="I22" s="2"/>
      <c r="J22" s="26"/>
      <c r="K22" s="27">
        <f t="shared" si="2"/>
        <v>0</v>
      </c>
      <c r="L22" s="27"/>
      <c r="M22" s="27"/>
      <c r="N22" s="2">
        <v>11</v>
      </c>
      <c r="O22" s="27">
        <f t="shared" si="1"/>
        <v>8281.4</v>
      </c>
      <c r="P22" s="27">
        <v>8281.4</v>
      </c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6214.5599999999995</v>
      </c>
      <c r="P23" s="27">
        <f>488.18+2791.37+2935.01</f>
        <v>6214.5599999999995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4086.08</v>
      </c>
      <c r="L26" s="27">
        <f>4086.08</f>
        <v>4086.08</v>
      </c>
      <c r="M26" s="27"/>
      <c r="N26" s="1">
        <v>3</v>
      </c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7</v>
      </c>
      <c r="J27" s="44">
        <v>7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20</v>
      </c>
      <c r="I29" s="1">
        <v>11</v>
      </c>
      <c r="J29" s="26">
        <v>11</v>
      </c>
      <c r="K29" s="27">
        <f t="shared" si="2"/>
        <v>0</v>
      </c>
      <c r="L29" s="27"/>
      <c r="M29" s="27"/>
      <c r="N29" s="1">
        <v>9</v>
      </c>
      <c r="O29" s="27">
        <f t="shared" si="1"/>
        <v>14079.12</v>
      </c>
      <c r="P29" s="27">
        <f>1585.49+7579.12+718.9+1852.33+814.04+1529.24</f>
        <v>14079.12</v>
      </c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17</v>
      </c>
      <c r="I32" s="1">
        <v>17</v>
      </c>
      <c r="J32" s="26">
        <v>12</v>
      </c>
      <c r="K32" s="27">
        <f t="shared" si="2"/>
        <v>6122.51</v>
      </c>
      <c r="L32" s="27">
        <f>1850.1+4272.41</f>
        <v>6122.51</v>
      </c>
      <c r="M32" s="27"/>
      <c r="N32" s="1">
        <v>13</v>
      </c>
      <c r="O32" s="27">
        <f t="shared" si="1"/>
        <v>30484.04</v>
      </c>
      <c r="P32" s="27">
        <f>8353.67+11335.86+6709.68+4084.83</f>
        <v>30484.04</v>
      </c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5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11</v>
      </c>
      <c r="I35" s="1">
        <v>1</v>
      </c>
      <c r="J35" s="26">
        <v>1</v>
      </c>
      <c r="K35" s="27">
        <f t="shared" si="2"/>
        <v>0</v>
      </c>
      <c r="L35" s="27"/>
      <c r="M35" s="27"/>
      <c r="N35" s="1">
        <v>7</v>
      </c>
      <c r="O35" s="27">
        <f t="shared" si="1"/>
        <v>1233.4000000000001</v>
      </c>
      <c r="P35" s="27">
        <v>1233.4000000000001</v>
      </c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13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15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7136.1</v>
      </c>
      <c r="P37" s="27">
        <v>7136.1</v>
      </c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16</v>
      </c>
      <c r="I38" s="1">
        <v>8</v>
      </c>
      <c r="J38" s="26">
        <v>8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13</v>
      </c>
      <c r="I39" s="2">
        <v>3</v>
      </c>
      <c r="J39" s="26">
        <v>3</v>
      </c>
      <c r="K39" s="27">
        <f t="shared" si="2"/>
        <v>0</v>
      </c>
      <c r="L39" s="27"/>
      <c r="M39" s="27"/>
      <c r="N39" s="2">
        <v>9</v>
      </c>
      <c r="O39" s="27">
        <f t="shared" si="1"/>
        <v>2466.8000000000002</v>
      </c>
      <c r="P39" s="27">
        <v>2466.8000000000002</v>
      </c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8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6</v>
      </c>
      <c r="O40" s="27">
        <f t="shared" si="1"/>
        <v>3986.12</v>
      </c>
      <c r="P40" s="27">
        <f>1233.4+2752.72</f>
        <v>3986.12</v>
      </c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11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23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8</v>
      </c>
      <c r="I45" s="1"/>
      <c r="J45" s="26"/>
      <c r="K45" s="27">
        <f t="shared" si="2"/>
        <v>0</v>
      </c>
      <c r="L45" s="27"/>
      <c r="M45" s="27"/>
      <c r="N45" s="1">
        <v>5</v>
      </c>
      <c r="O45" s="27">
        <f t="shared" si="1"/>
        <v>881</v>
      </c>
      <c r="P45" s="27">
        <v>881</v>
      </c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8</v>
      </c>
      <c r="O46" s="27">
        <f t="shared" si="1"/>
        <v>5145.1900000000005</v>
      </c>
      <c r="P46" s="27">
        <f>1255.23+3889.96</f>
        <v>5145.1900000000005</v>
      </c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9</v>
      </c>
      <c r="I47" s="1"/>
      <c r="J47" s="26"/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15</v>
      </c>
      <c r="I48" s="1">
        <v>13</v>
      </c>
      <c r="J48" s="26">
        <v>12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12</v>
      </c>
      <c r="J50" s="26">
        <v>12</v>
      </c>
      <c r="K50" s="27">
        <f t="shared" si="2"/>
        <v>6913.6</v>
      </c>
      <c r="L50" s="27">
        <v>6913.6</v>
      </c>
      <c r="M50" s="27"/>
      <c r="N50" s="1">
        <v>7</v>
      </c>
      <c r="O50" s="27">
        <f t="shared" si="1"/>
        <v>21680.73</v>
      </c>
      <c r="P50" s="27">
        <f>6837.93+3382.02+3633.83+6541.43+1285.52</f>
        <v>21680.73</v>
      </c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9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477</v>
      </c>
      <c r="G54" s="23" t="s">
        <v>136</v>
      </c>
      <c r="H54" s="25">
        <v>10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2819.2</v>
      </c>
      <c r="P54" s="27">
        <v>2819.2</v>
      </c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2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31"/>
    </row>
    <row r="56" spans="1:1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 t="s">
        <v>478</v>
      </c>
      <c r="G56" s="23" t="s">
        <v>136</v>
      </c>
      <c r="H56" s="25">
        <v>11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31"/>
    </row>
    <row r="57" spans="1:18" s="97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31"/>
    </row>
    <row r="58" spans="1:18" s="97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14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31"/>
    </row>
    <row r="59" spans="1:18" s="97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35</v>
      </c>
      <c r="I59" s="26">
        <v>16</v>
      </c>
      <c r="J59" s="26">
        <v>16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31"/>
    </row>
    <row r="60" spans="1:18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31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31"/>
    </row>
    <row r="61" spans="1:1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20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19108.77</v>
      </c>
      <c r="P61" s="27">
        <f>3558.78+6542.54+4585.89+4121.56+300</f>
        <v>19108.77</v>
      </c>
      <c r="Q61" s="27"/>
      <c r="R61" s="31"/>
    </row>
    <row r="62" spans="1:1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480</v>
      </c>
      <c r="G62" s="23" t="s">
        <v>122</v>
      </c>
      <c r="H62" s="25">
        <v>17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31"/>
    </row>
    <row r="63" spans="1:18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13</v>
      </c>
      <c r="J63" s="26">
        <v>11</v>
      </c>
      <c r="K63" s="27">
        <f t="shared" si="2"/>
        <v>0</v>
      </c>
      <c r="L63" s="27"/>
      <c r="M63" s="27"/>
      <c r="N63" s="1">
        <v>20</v>
      </c>
      <c r="O63" s="27">
        <f t="shared" si="1"/>
        <v>21556.080000000002</v>
      </c>
      <c r="P63" s="27">
        <f>3793.8+8092.08+9670.2</f>
        <v>21556.080000000002</v>
      </c>
      <c r="Q63" s="27"/>
      <c r="R63" s="31"/>
    </row>
    <row r="64" spans="1:1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8</v>
      </c>
      <c r="J64" s="26">
        <v>8</v>
      </c>
      <c r="K64" s="27">
        <f t="shared" si="2"/>
        <v>0</v>
      </c>
      <c r="L64" s="27"/>
      <c r="M64" s="27"/>
      <c r="N64" s="1">
        <v>19</v>
      </c>
      <c r="O64" s="27">
        <f t="shared" si="1"/>
        <v>8299.02</v>
      </c>
      <c r="P64" s="27">
        <v>8299.02</v>
      </c>
      <c r="Q64" s="27"/>
      <c r="R64" s="31"/>
    </row>
    <row r="65" spans="1:18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16</v>
      </c>
      <c r="I65" s="1">
        <v>7</v>
      </c>
      <c r="J65" s="26">
        <v>7</v>
      </c>
      <c r="K65" s="27">
        <f t="shared" si="2"/>
        <v>0</v>
      </c>
      <c r="L65" s="27"/>
      <c r="M65" s="27"/>
      <c r="N65" s="1">
        <v>7</v>
      </c>
      <c r="O65" s="27">
        <f t="shared" si="1"/>
        <v>7690.6</v>
      </c>
      <c r="P65" s="27">
        <f>1487.48+1918.48+4284.64</f>
        <v>7690.6</v>
      </c>
      <c r="Q65" s="27"/>
      <c r="R65" s="31"/>
    </row>
    <row r="66" spans="1:18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17337.38</v>
      </c>
      <c r="P66" s="27">
        <f>1353.94+9352.06+1852.4+3552.19+1226.79</f>
        <v>17337.38</v>
      </c>
      <c r="Q66" s="27"/>
      <c r="R66" s="31"/>
    </row>
    <row r="67" spans="1:18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31"/>
    </row>
    <row r="68" spans="1:1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12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31"/>
    </row>
    <row r="69" spans="1:1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11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31"/>
    </row>
    <row r="70" spans="1:1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23</v>
      </c>
      <c r="I70" s="2">
        <v>14</v>
      </c>
      <c r="J70" s="26">
        <v>13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30</v>
      </c>
      <c r="I71" s="1">
        <v>17</v>
      </c>
      <c r="J71" s="26">
        <v>17</v>
      </c>
      <c r="K71" s="27">
        <f t="shared" si="2"/>
        <v>2199.6799999999998</v>
      </c>
      <c r="L71" s="27">
        <f>2199.68</f>
        <v>2199.6799999999998</v>
      </c>
      <c r="M71" s="27"/>
      <c r="N71" s="1">
        <v>17</v>
      </c>
      <c r="O71" s="27">
        <f t="shared" si="1"/>
        <v>87678.12</v>
      </c>
      <c r="P71" s="27">
        <f>8536.41+1900.55+1810.72+5409.65+1602.49+6411.71+6033.69+27487.21+5155.58+12470.56+10859.55</f>
        <v>87678.12</v>
      </c>
      <c r="Q71" s="27"/>
      <c r="R71" s="31"/>
    </row>
    <row r="72" spans="1:1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31"/>
    </row>
    <row r="73" spans="1:1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27</v>
      </c>
      <c r="I73" s="1">
        <v>16</v>
      </c>
      <c r="J73" s="26">
        <v>13</v>
      </c>
      <c r="K73" s="27">
        <f t="shared" si="2"/>
        <v>3339.42</v>
      </c>
      <c r="L73" s="27">
        <f>607.08+2732.34</f>
        <v>3339.42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476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31"/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10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28363.64</v>
      </c>
      <c r="P75" s="27">
        <v>28363.64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472</v>
      </c>
      <c r="G76" s="23" t="s">
        <v>210</v>
      </c>
      <c r="H76" s="25">
        <v>4</v>
      </c>
      <c r="I76" s="1">
        <v>2</v>
      </c>
      <c r="J76" s="26">
        <v>2</v>
      </c>
      <c r="K76" s="27">
        <f t="shared" si="2"/>
        <v>0</v>
      </c>
      <c r="L76" s="27"/>
      <c r="M76" s="27"/>
      <c r="N76" s="1">
        <v>10</v>
      </c>
      <c r="O76" s="27">
        <f t="shared" si="1"/>
        <v>9489.91</v>
      </c>
      <c r="P76" s="27">
        <v>9489.91</v>
      </c>
      <c r="Q76" s="27"/>
      <c r="R76" s="31"/>
    </row>
    <row r="77" spans="1:1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16</v>
      </c>
      <c r="I77" s="1">
        <v>6</v>
      </c>
      <c r="J77" s="26">
        <v>6</v>
      </c>
      <c r="K77" s="27">
        <f t="shared" si="2"/>
        <v>4400.6000000000004</v>
      </c>
      <c r="L77" s="27">
        <v>4400.6000000000004</v>
      </c>
      <c r="M77" s="27"/>
      <c r="N77" s="1">
        <v>16</v>
      </c>
      <c r="O77" s="27">
        <f t="shared" si="1"/>
        <v>46129.759999999995</v>
      </c>
      <c r="P77" s="27">
        <f>5457.7+9775.17+3631.18+27265.71</f>
        <v>46129.759999999995</v>
      </c>
      <c r="Q77" s="27"/>
      <c r="R77" s="31"/>
    </row>
    <row r="78" spans="1:1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14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31"/>
    </row>
    <row r="80" spans="1:1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8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31"/>
    </row>
    <row r="81" spans="1:1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8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31"/>
    </row>
    <row r="82" spans="1:1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31"/>
    </row>
    <row r="83" spans="1:18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51</v>
      </c>
      <c r="I83" s="1">
        <v>28</v>
      </c>
      <c r="J83" s="26">
        <v>28</v>
      </c>
      <c r="K83" s="27">
        <f t="shared" si="2"/>
        <v>5547.55</v>
      </c>
      <c r="L83" s="27">
        <f>5547.55</f>
        <v>5547.55</v>
      </c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31"/>
    </row>
    <row r="84" spans="1:18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4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31"/>
    </row>
    <row r="85" spans="1:1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32</v>
      </c>
      <c r="I86" s="1">
        <v>28</v>
      </c>
      <c r="J86" s="26">
        <v>28</v>
      </c>
      <c r="K86" s="27">
        <f t="shared" ref="K86:K154" si="3">L86+M86</f>
        <v>12507.07</v>
      </c>
      <c r="L86" s="27">
        <f>5061.86+7445.21</f>
        <v>12507.07</v>
      </c>
      <c r="M86" s="27"/>
      <c r="N86" s="1">
        <v>13</v>
      </c>
      <c r="O86" s="27">
        <f t="shared" si="1"/>
        <v>17059.530000000002</v>
      </c>
      <c r="P86" s="27">
        <f>1369.13+3431.04+7740.64+2536.47+920.62+1061.63</f>
        <v>17059.530000000002</v>
      </c>
      <c r="Q86" s="27"/>
      <c r="R86" s="31"/>
    </row>
    <row r="87" spans="1:18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31"/>
    </row>
    <row r="88" spans="1:1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9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31"/>
    </row>
    <row r="90" spans="1:1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31"/>
    </row>
    <row r="91" spans="1:1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1</v>
      </c>
      <c r="J91" s="26">
        <v>1</v>
      </c>
      <c r="K91" s="27">
        <f t="shared" si="3"/>
        <v>0</v>
      </c>
      <c r="L91" s="27"/>
      <c r="M91" s="27"/>
      <c r="N91" s="2">
        <v>3</v>
      </c>
      <c r="O91" s="27">
        <f t="shared" si="1"/>
        <v>4981.9400000000005</v>
      </c>
      <c r="P91" s="27">
        <f>3045.34+1936.6</f>
        <v>4981.9400000000005</v>
      </c>
      <c r="Q91" s="27"/>
      <c r="R91" s="31"/>
    </row>
    <row r="92" spans="1:1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4</v>
      </c>
      <c r="J92" s="26">
        <v>4</v>
      </c>
      <c r="K92" s="27">
        <f t="shared" si="3"/>
        <v>0</v>
      </c>
      <c r="L92" s="27"/>
      <c r="M92" s="27"/>
      <c r="N92" s="2">
        <v>18</v>
      </c>
      <c r="O92" s="27">
        <f t="shared" si="1"/>
        <v>2819.2</v>
      </c>
      <c r="P92" s="27">
        <v>2819.2</v>
      </c>
      <c r="Q92" s="27"/>
      <c r="R92" s="31"/>
    </row>
    <row r="93" spans="1:1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2</v>
      </c>
      <c r="O93" s="27">
        <f t="shared" ref="O93:O192" si="4">P93+Q93</f>
        <v>0</v>
      </c>
      <c r="P93" s="27"/>
      <c r="Q93" s="27"/>
      <c r="R93" s="31"/>
    </row>
    <row r="94" spans="1:18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10</v>
      </c>
      <c r="I95" s="1">
        <v>7</v>
      </c>
      <c r="J95" s="26">
        <v>7</v>
      </c>
      <c r="K95" s="27">
        <f t="shared" si="3"/>
        <v>2262.4</v>
      </c>
      <c r="L95" s="27">
        <v>2262.4</v>
      </c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31"/>
    </row>
    <row r="96" spans="1:1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10878.949999999999</v>
      </c>
      <c r="P96" s="27">
        <f>1647.47+9231.48</f>
        <v>10878.949999999999</v>
      </c>
      <c r="Q96" s="27"/>
      <c r="R96" s="31"/>
    </row>
    <row r="97" spans="1:1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22</v>
      </c>
      <c r="I101" s="1">
        <v>12</v>
      </c>
      <c r="J101" s="26">
        <v>12</v>
      </c>
      <c r="K101" s="27">
        <f t="shared" si="3"/>
        <v>2177.83</v>
      </c>
      <c r="L101" s="27">
        <f>2177.83</f>
        <v>2177.83</v>
      </c>
      <c r="M101" s="27"/>
      <c r="N101" s="1">
        <v>10</v>
      </c>
      <c r="O101" s="27">
        <f t="shared" si="4"/>
        <v>28784.010000000002</v>
      </c>
      <c r="P101" s="27">
        <f>8926.48+3667.84+9102.27+7087.42</f>
        <v>28784.010000000002</v>
      </c>
      <c r="Q101" s="27"/>
      <c r="R101" s="31"/>
    </row>
    <row r="102" spans="1:18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12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13</v>
      </c>
      <c r="I103" s="1">
        <v>1</v>
      </c>
      <c r="J103" s="26">
        <v>1</v>
      </c>
      <c r="K103" s="27">
        <f t="shared" si="3"/>
        <v>1057.2</v>
      </c>
      <c r="L103" s="27">
        <v>1057.2</v>
      </c>
      <c r="M103" s="27"/>
      <c r="N103" s="1"/>
      <c r="O103" s="27">
        <f t="shared" si="4"/>
        <v>0</v>
      </c>
      <c r="Q103" s="27"/>
      <c r="R103" s="31"/>
    </row>
    <row r="104" spans="1:18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467</v>
      </c>
      <c r="G104" s="23" t="s">
        <v>136</v>
      </c>
      <c r="H104" s="25">
        <v>26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31"/>
    </row>
    <row r="105" spans="1:1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15</v>
      </c>
      <c r="I105" s="1">
        <v>17</v>
      </c>
      <c r="J105" s="26">
        <v>17</v>
      </c>
      <c r="K105" s="27">
        <f t="shared" si="3"/>
        <v>2637.71</v>
      </c>
      <c r="L105" s="27">
        <f>977.91+1659.8</f>
        <v>2637.71</v>
      </c>
      <c r="M105" s="27"/>
      <c r="N105" s="1">
        <v>18</v>
      </c>
      <c r="O105" s="27">
        <f>P105+Q105</f>
        <v>81455.08</v>
      </c>
      <c r="P105" s="27">
        <f>7142.66+6007.6+11985.28+16853.32+13359.63+12185.56+13921.03</f>
        <v>81455.08</v>
      </c>
      <c r="Q105" s="27"/>
      <c r="R105" s="31"/>
    </row>
    <row r="106" spans="1:1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18</v>
      </c>
      <c r="I106" s="1">
        <v>4</v>
      </c>
      <c r="J106" s="26">
        <v>4</v>
      </c>
      <c r="K106" s="27">
        <f t="shared" si="3"/>
        <v>0</v>
      </c>
      <c r="L106" s="27"/>
      <c r="M106" s="27"/>
      <c r="N106" s="1">
        <v>17</v>
      </c>
      <c r="O106" s="27">
        <f>P106+Q106</f>
        <v>10660.1</v>
      </c>
      <c r="P106" s="27">
        <v>10660.1</v>
      </c>
      <c r="Q106" s="27"/>
      <c r="R106" s="31"/>
    </row>
    <row r="107" spans="1:1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22</v>
      </c>
      <c r="I107" s="2">
        <v>4</v>
      </c>
      <c r="J107" s="26">
        <v>4</v>
      </c>
      <c r="K107" s="27">
        <f t="shared" si="3"/>
        <v>0</v>
      </c>
      <c r="L107" s="27"/>
      <c r="M107" s="27"/>
      <c r="N107" s="2">
        <v>27</v>
      </c>
      <c r="O107" s="27">
        <f>P107+Q107</f>
        <v>42079.31</v>
      </c>
      <c r="P107" s="35">
        <v>42079.31</v>
      </c>
      <c r="Q107" s="27"/>
      <c r="R107" s="31"/>
    </row>
    <row r="108" spans="1:18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31"/>
    </row>
    <row r="109" spans="1:18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>
        <v>1</v>
      </c>
      <c r="J109" s="26">
        <v>1</v>
      </c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31"/>
    </row>
    <row r="110" spans="1:1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8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3</v>
      </c>
      <c r="O110" s="27">
        <f t="shared" si="5"/>
        <v>0</v>
      </c>
      <c r="P110" s="27"/>
      <c r="Q110" s="27"/>
      <c r="R110" s="31"/>
    </row>
    <row r="111" spans="1:1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17</v>
      </c>
      <c r="I111" s="2">
        <v>12</v>
      </c>
      <c r="J111" s="26">
        <v>10</v>
      </c>
      <c r="K111" s="27">
        <v>0</v>
      </c>
      <c r="L111" s="27"/>
      <c r="M111" s="27"/>
      <c r="N111" s="2"/>
      <c r="O111" s="27">
        <v>0</v>
      </c>
      <c r="P111" s="27"/>
      <c r="Q111" s="27"/>
      <c r="R111" s="31"/>
    </row>
    <row r="112" spans="1:1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13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31"/>
    </row>
    <row r="113" spans="1:1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10</v>
      </c>
      <c r="I113" s="2">
        <v>2</v>
      </c>
      <c r="J113" s="26">
        <v>2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31"/>
    </row>
    <row r="114" spans="1:1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25</v>
      </c>
      <c r="I114" s="1">
        <v>21</v>
      </c>
      <c r="J114" s="26">
        <v>19</v>
      </c>
      <c r="K114" s="27">
        <f t="shared" si="3"/>
        <v>17351.93</v>
      </c>
      <c r="L114" s="27">
        <f>6292.32+11059.61</f>
        <v>17351.93</v>
      </c>
      <c r="M114" s="27"/>
      <c r="N114" s="1">
        <v>9</v>
      </c>
      <c r="O114" s="27">
        <f t="shared" si="4"/>
        <v>25029.530000000002</v>
      </c>
      <c r="P114" s="27">
        <f>3646.63+15405.61+207.55+4651.68+1118.06</f>
        <v>25029.530000000002</v>
      </c>
      <c r="Q114" s="27"/>
      <c r="R114" s="31"/>
    </row>
    <row r="115" spans="1:18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31"/>
    </row>
    <row r="117" spans="1:1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22</v>
      </c>
      <c r="I118" s="1">
        <v>20</v>
      </c>
      <c r="J118" s="26">
        <v>20</v>
      </c>
      <c r="K118" s="27">
        <f t="shared" si="3"/>
        <v>13736.86</v>
      </c>
      <c r="L118" s="27">
        <f>868.67+12868.19</f>
        <v>13736.86</v>
      </c>
      <c r="M118" s="27"/>
      <c r="N118" s="1">
        <v>12</v>
      </c>
      <c r="O118" s="27">
        <f t="shared" si="4"/>
        <v>34241.86</v>
      </c>
      <c r="P118" s="27">
        <f>3333.95+1419.74+6665.65+8634.68+1726.54+12461.3</f>
        <v>34241.86</v>
      </c>
      <c r="Q118" s="27"/>
      <c r="R118" s="31"/>
    </row>
    <row r="119" spans="1:18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18</v>
      </c>
      <c r="I120" s="1">
        <v>3</v>
      </c>
      <c r="J120" s="26">
        <v>3</v>
      </c>
      <c r="K120" s="27">
        <v>0</v>
      </c>
      <c r="L120" s="27"/>
      <c r="M120" s="27"/>
      <c r="N120" s="1"/>
      <c r="O120" s="27">
        <v>0</v>
      </c>
      <c r="P120" s="27"/>
      <c r="Q120" s="27"/>
      <c r="R120" s="31"/>
    </row>
    <row r="121" spans="1:18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18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21</v>
      </c>
      <c r="I122" s="1">
        <v>6</v>
      </c>
      <c r="J122" s="26">
        <v>6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7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31"/>
    </row>
    <row r="124" spans="1:1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11</v>
      </c>
      <c r="I124" s="1">
        <v>5</v>
      </c>
      <c r="J124" s="26">
        <v>5</v>
      </c>
      <c r="K124" s="27">
        <f t="shared" si="3"/>
        <v>0</v>
      </c>
      <c r="L124" s="27"/>
      <c r="M124" s="27"/>
      <c r="N124" s="1">
        <v>6</v>
      </c>
      <c r="O124" s="27">
        <f t="shared" si="4"/>
        <v>7736.87</v>
      </c>
      <c r="P124" s="27">
        <f>2479.17+3260.79+1996.91</f>
        <v>7736.87</v>
      </c>
      <c r="Q124" s="27"/>
      <c r="R124" s="31"/>
    </row>
    <row r="125" spans="1:1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3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31"/>
    </row>
    <row r="126" spans="1:18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21</v>
      </c>
      <c r="I126" s="1">
        <v>16</v>
      </c>
      <c r="J126" s="26">
        <v>16</v>
      </c>
      <c r="K126" s="27">
        <f t="shared" si="3"/>
        <v>4799.6900000000005</v>
      </c>
      <c r="L126" s="27">
        <f>2262.41+2537.28</f>
        <v>4799.6900000000005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31"/>
    </row>
    <row r="127" spans="1:18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481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31"/>
    </row>
    <row r="128" spans="1:1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45</v>
      </c>
      <c r="I128" s="1">
        <v>39</v>
      </c>
      <c r="J128" s="26">
        <v>39</v>
      </c>
      <c r="K128" s="27">
        <f t="shared" si="3"/>
        <v>14837.82</v>
      </c>
      <c r="L128" s="27">
        <f>4622.62+10215.2</f>
        <v>14837.82</v>
      </c>
      <c r="M128" s="27"/>
      <c r="N128" s="1">
        <v>13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31"/>
    </row>
    <row r="129" spans="1:1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473</v>
      </c>
      <c r="G129" s="23" t="s">
        <v>131</v>
      </c>
      <c r="H129" s="25">
        <v>11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21</v>
      </c>
      <c r="I130" s="1">
        <v>18</v>
      </c>
      <c r="J130" s="26">
        <v>18</v>
      </c>
      <c r="K130" s="27">
        <f t="shared" si="3"/>
        <v>6912.33</v>
      </c>
      <c r="L130" s="27">
        <f>1150.59+5761.74</f>
        <v>6912.33</v>
      </c>
      <c r="M130" s="27"/>
      <c r="N130" s="1">
        <v>10</v>
      </c>
      <c r="O130" s="27">
        <f t="shared" si="4"/>
        <v>16519.240000000002</v>
      </c>
      <c r="P130" s="27">
        <f>919.46+2791.44+2825.9+1143.1+4609.59+4061.35+168.4</f>
        <v>16519.240000000002</v>
      </c>
      <c r="Q130" s="27"/>
      <c r="R130" s="31"/>
    </row>
    <row r="131" spans="1:1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37" t="s">
        <v>468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22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23205.66</v>
      </c>
      <c r="P132" s="27">
        <f>6606.63+11561.65+5037.38</f>
        <v>23205.66</v>
      </c>
      <c r="Q132" s="27"/>
      <c r="R132" s="31"/>
    </row>
    <row r="133" spans="1:1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38</v>
      </c>
      <c r="I133" s="1">
        <v>7</v>
      </c>
      <c r="J133" s="26">
        <v>7</v>
      </c>
      <c r="K133" s="27">
        <f t="shared" si="3"/>
        <v>0</v>
      </c>
      <c r="L133" s="27"/>
      <c r="M133" s="27"/>
      <c r="N133" s="1">
        <v>17</v>
      </c>
      <c r="O133" s="27">
        <f t="shared" si="4"/>
        <v>3039.46</v>
      </c>
      <c r="P133" s="27">
        <v>3039.46</v>
      </c>
      <c r="Q133" s="27"/>
      <c r="R133" s="31"/>
    </row>
    <row r="134" spans="1:1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22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22081.42</v>
      </c>
      <c r="P134" s="27">
        <f>1359.87+2464.36+5364.57+11322.68+1569.94</f>
        <v>22081.42</v>
      </c>
      <c r="Q134" s="27"/>
      <c r="R134" s="31"/>
    </row>
    <row r="135" spans="1:1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4</v>
      </c>
      <c r="I135" s="1">
        <v>1</v>
      </c>
      <c r="J135" s="26">
        <v>1</v>
      </c>
      <c r="K135" s="27">
        <f t="shared" si="3"/>
        <v>0</v>
      </c>
      <c r="L135" s="27"/>
      <c r="M135" s="27"/>
      <c r="N135" s="1">
        <v>3</v>
      </c>
      <c r="O135" s="27">
        <f t="shared" si="4"/>
        <v>0</v>
      </c>
      <c r="P135" s="27"/>
      <c r="Q135" s="27"/>
      <c r="R135" s="31"/>
    </row>
    <row r="136" spans="1:1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31"/>
    </row>
    <row r="137" spans="1:1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22</v>
      </c>
      <c r="I137" s="1">
        <v>4</v>
      </c>
      <c r="J137" s="44">
        <v>4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31"/>
    </row>
    <row r="138" spans="1:1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19</v>
      </c>
      <c r="I138" s="1">
        <v>11</v>
      </c>
      <c r="J138" s="26">
        <v>9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31"/>
    </row>
    <row r="139" spans="1:18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13</v>
      </c>
      <c r="I139" s="1"/>
      <c r="J139" s="26"/>
      <c r="K139" s="27">
        <f t="shared" si="3"/>
        <v>0</v>
      </c>
      <c r="L139" s="27"/>
      <c r="M139" s="27"/>
      <c r="N139" s="1">
        <v>6</v>
      </c>
      <c r="O139" s="27">
        <f t="shared" si="4"/>
        <v>2819.2</v>
      </c>
      <c r="P139" s="36">
        <v>2819.2</v>
      </c>
      <c r="Q139" s="27"/>
      <c r="R139" s="31"/>
    </row>
    <row r="140" spans="1:1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11</v>
      </c>
      <c r="I140" s="1">
        <v>6</v>
      </c>
      <c r="J140" s="26">
        <v>6</v>
      </c>
      <c r="K140" s="27">
        <f t="shared" si="3"/>
        <v>1251.72</v>
      </c>
      <c r="L140" s="27">
        <f>1251.72</f>
        <v>1251.72</v>
      </c>
      <c r="M140" s="27"/>
      <c r="N140" s="1">
        <v>4</v>
      </c>
      <c r="O140" s="27">
        <f t="shared" si="4"/>
        <v>9882.14</v>
      </c>
      <c r="P140" s="27">
        <f>886.32+5410.33+3585.49</f>
        <v>9882.14</v>
      </c>
      <c r="Q140" s="27"/>
      <c r="R140" s="31"/>
    </row>
    <row r="141" spans="1:18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470</v>
      </c>
      <c r="G141" s="23" t="s">
        <v>142</v>
      </c>
      <c r="H141" s="25">
        <v>13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21863.360000000001</v>
      </c>
      <c r="P141" s="27">
        <f>8438.22+13425.14</f>
        <v>21863.360000000001</v>
      </c>
      <c r="Q141" s="27"/>
      <c r="R141" s="31"/>
    </row>
    <row r="142" spans="1:18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479</v>
      </c>
      <c r="G142" s="23" t="s">
        <v>136</v>
      </c>
      <c r="H142" s="25">
        <v>3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31"/>
    </row>
    <row r="143" spans="1:1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31"/>
    </row>
    <row r="144" spans="1:18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31"/>
    </row>
    <row r="145" spans="1:18" ht="15" customHeight="1">
      <c r="A145" s="24"/>
      <c r="B145" s="23" t="s">
        <v>93</v>
      </c>
      <c r="C145" s="24" t="s">
        <v>18</v>
      </c>
      <c r="D145" s="23"/>
      <c r="E145" s="23"/>
      <c r="F145" s="23" t="s">
        <v>261</v>
      </c>
      <c r="G145" s="23" t="s">
        <v>122</v>
      </c>
      <c r="H145" s="25">
        <v>9</v>
      </c>
      <c r="I145" s="1"/>
      <c r="J145" s="26"/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31"/>
    </row>
    <row r="146" spans="1:1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11</v>
      </c>
      <c r="I146" s="1">
        <v>5</v>
      </c>
      <c r="J146" s="26">
        <v>5</v>
      </c>
      <c r="K146" s="27">
        <f t="shared" si="3"/>
        <v>2702.63</v>
      </c>
      <c r="L146" s="27">
        <f>1279.21+1423.42</f>
        <v>2702.63</v>
      </c>
      <c r="M146" s="27"/>
      <c r="N146" s="1">
        <v>2</v>
      </c>
      <c r="O146" s="27">
        <f t="shared" si="4"/>
        <v>2640.13</v>
      </c>
      <c r="P146" s="27">
        <f>486.08+2154.05</f>
        <v>2640.13</v>
      </c>
      <c r="Q146" s="27"/>
      <c r="R146" s="31"/>
    </row>
    <row r="147" spans="1:1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31"/>
    </row>
    <row r="148" spans="1:1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22</v>
      </c>
      <c r="I148" s="1">
        <v>3</v>
      </c>
      <c r="J148" s="26">
        <v>3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31"/>
    </row>
    <row r="149" spans="1:1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34</v>
      </c>
      <c r="I149" s="1">
        <v>34</v>
      </c>
      <c r="J149" s="26">
        <v>34</v>
      </c>
      <c r="K149" s="27">
        <f t="shared" si="3"/>
        <v>4012.07</v>
      </c>
      <c r="L149" s="27">
        <f>4012.07</f>
        <v>4012.07</v>
      </c>
      <c r="M149" s="27"/>
      <c r="N149" s="1">
        <v>10</v>
      </c>
      <c r="O149" s="27">
        <f t="shared" si="4"/>
        <v>13489.94</v>
      </c>
      <c r="P149" s="27">
        <f>5675.37+2740.58+5073.99</f>
        <v>13489.94</v>
      </c>
      <c r="Q149" s="27"/>
      <c r="R149" s="31"/>
    </row>
    <row r="150" spans="1:18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10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31"/>
    </row>
    <row r="151" spans="1:1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>
        <v>2</v>
      </c>
      <c r="O151" s="27">
        <f t="shared" si="4"/>
        <v>0</v>
      </c>
      <c r="P151" s="27"/>
      <c r="Q151" s="27"/>
      <c r="R151" s="31"/>
    </row>
    <row r="152" spans="1:1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31"/>
    </row>
    <row r="153" spans="1:1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2</v>
      </c>
      <c r="O153" s="27">
        <f t="shared" si="4"/>
        <v>0</v>
      </c>
      <c r="P153" s="27"/>
      <c r="Q153" s="27"/>
      <c r="R153" s="31"/>
    </row>
    <row r="154" spans="1:1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4</v>
      </c>
      <c r="J154" s="26">
        <v>4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31"/>
    </row>
    <row r="155" spans="1:1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>
        <v>1</v>
      </c>
      <c r="J155" s="26">
        <v>1</v>
      </c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31"/>
    </row>
    <row r="156" spans="1:1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6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31"/>
    </row>
    <row r="157" spans="1:1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15</v>
      </c>
      <c r="I157" s="1">
        <v>14</v>
      </c>
      <c r="J157" s="26">
        <v>14</v>
      </c>
      <c r="K157" s="27">
        <f t="shared" si="6"/>
        <v>12007.23</v>
      </c>
      <c r="L157" s="27">
        <f>4990.06+7017.17</f>
        <v>12007.23</v>
      </c>
      <c r="M157" s="27"/>
      <c r="N157" s="1">
        <v>7</v>
      </c>
      <c r="O157" s="27">
        <f t="shared" si="4"/>
        <v>15710.62</v>
      </c>
      <c r="P157" s="27">
        <f>887.45+1225.31+5357.66+6830.6+1409.6</f>
        <v>15710.62</v>
      </c>
      <c r="Q157" s="27"/>
      <c r="R157" s="31"/>
    </row>
    <row r="158" spans="1:1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2</v>
      </c>
      <c r="O158" s="27">
        <f t="shared" si="4"/>
        <v>0</v>
      </c>
      <c r="P158" s="27"/>
      <c r="Q158" s="27"/>
      <c r="R158" s="31"/>
    </row>
    <row r="159" spans="1:1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9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31"/>
    </row>
    <row r="160" spans="1:18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31"/>
    </row>
    <row r="162" spans="1:1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12670.26</v>
      </c>
      <c r="P163" s="27">
        <f>1061.97+8854.17+2222.88+531.24</f>
        <v>12670.26</v>
      </c>
      <c r="Q163" s="27"/>
      <c r="R163" s="31"/>
    </row>
    <row r="164" spans="1:1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31"/>
    </row>
    <row r="165" spans="1:1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8</v>
      </c>
      <c r="I165" s="40">
        <v>4</v>
      </c>
      <c r="J165" s="43">
        <v>4</v>
      </c>
      <c r="K165" s="39">
        <v>0</v>
      </c>
      <c r="L165" s="39"/>
      <c r="M165" s="39"/>
      <c r="N165" s="40"/>
      <c r="O165" s="39"/>
      <c r="P165" s="39"/>
      <c r="Q165" s="39"/>
      <c r="R165" s="31"/>
    </row>
    <row r="166" spans="1:1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15</v>
      </c>
      <c r="I166" s="1">
        <v>3</v>
      </c>
      <c r="J166" s="26">
        <v>3</v>
      </c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11</v>
      </c>
      <c r="I167" s="1">
        <v>1</v>
      </c>
      <c r="J167" s="26">
        <v>1</v>
      </c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474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31"/>
    </row>
    <row r="170" spans="1:1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465</v>
      </c>
      <c r="G170" s="23" t="s">
        <v>136</v>
      </c>
      <c r="H170" s="25">
        <v>13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10</v>
      </c>
      <c r="I171" s="1">
        <v>5</v>
      </c>
      <c r="J171" s="26">
        <v>5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31"/>
    </row>
    <row r="172" spans="1:18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10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1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14</v>
      </c>
      <c r="I173" s="1">
        <v>2</v>
      </c>
      <c r="J173" s="26"/>
      <c r="K173" s="27">
        <f t="shared" si="6"/>
        <v>0</v>
      </c>
      <c r="L173" s="27"/>
      <c r="M173" s="27"/>
      <c r="N173" s="1"/>
      <c r="O173" s="27">
        <f t="shared" si="4"/>
        <v>23296.730000000003</v>
      </c>
      <c r="P173" s="27">
        <f>4712.69+2993.76+7569.59+911.84+7108.85</f>
        <v>23296.730000000003</v>
      </c>
      <c r="Q173" s="27"/>
      <c r="R173" s="31"/>
    </row>
    <row r="174" spans="1:1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9</v>
      </c>
      <c r="I174" s="1">
        <v>6</v>
      </c>
      <c r="J174" s="26">
        <v>6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31"/>
    </row>
    <row r="175" spans="1:18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6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18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18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31"/>
    </row>
    <row r="178" spans="1:1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464</v>
      </c>
      <c r="G178" s="23" t="s">
        <v>136</v>
      </c>
      <c r="H178" s="25">
        <v>12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19</v>
      </c>
      <c r="O178" s="27">
        <f t="shared" si="4"/>
        <v>6343.2</v>
      </c>
      <c r="P178" s="27">
        <v>6343.2</v>
      </c>
      <c r="Q178" s="27"/>
      <c r="R178" s="31"/>
    </row>
    <row r="179" spans="1:1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28</v>
      </c>
      <c r="I179" s="1">
        <v>23</v>
      </c>
      <c r="J179" s="26">
        <v>20</v>
      </c>
      <c r="K179" s="27">
        <f t="shared" si="6"/>
        <v>13481.74</v>
      </c>
      <c r="L179" s="27">
        <f>13481.74</f>
        <v>13481.74</v>
      </c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31"/>
    </row>
    <row r="180" spans="1:18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12</v>
      </c>
      <c r="I180" s="1"/>
      <c r="J180" s="26"/>
      <c r="K180" s="27">
        <f t="shared" si="6"/>
        <v>0</v>
      </c>
      <c r="L180" s="27"/>
      <c r="M180" s="27"/>
      <c r="N180" s="1">
        <v>7</v>
      </c>
      <c r="O180" s="27">
        <f t="shared" si="4"/>
        <v>2942.54</v>
      </c>
      <c r="P180" s="27">
        <v>2942.54</v>
      </c>
      <c r="Q180" s="27"/>
      <c r="R180" s="31"/>
    </row>
    <row r="181" spans="1:18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475</v>
      </c>
      <c r="G181" s="23" t="s">
        <v>142</v>
      </c>
      <c r="H181" s="25">
        <v>9</v>
      </c>
      <c r="I181" s="1">
        <v>2</v>
      </c>
      <c r="J181" s="26">
        <v>1</v>
      </c>
      <c r="K181" s="27">
        <f t="shared" si="6"/>
        <v>0</v>
      </c>
      <c r="L181" s="27"/>
      <c r="M181" s="27"/>
      <c r="N181" s="1">
        <v>3</v>
      </c>
      <c r="O181" s="27">
        <f t="shared" si="4"/>
        <v>14026.97</v>
      </c>
      <c r="P181" s="27">
        <f>2891.29+9127.51+1007.87+1000.3</f>
        <v>14026.97</v>
      </c>
      <c r="Q181" s="27"/>
      <c r="R181" s="31"/>
    </row>
    <row r="182" spans="1:1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42</v>
      </c>
      <c r="I182" s="1">
        <v>31</v>
      </c>
      <c r="J182" s="26">
        <v>31</v>
      </c>
      <c r="K182" s="27">
        <f t="shared" si="6"/>
        <v>11917.66</v>
      </c>
      <c r="L182" s="27">
        <f>2547.86+9369.8</f>
        <v>11917.66</v>
      </c>
      <c r="M182" s="27"/>
      <c r="N182" s="1">
        <v>18</v>
      </c>
      <c r="O182" s="27">
        <f t="shared" si="4"/>
        <v>73939.81</v>
      </c>
      <c r="P182" s="27">
        <f>8759.8+505.2+4743.98+1370.7+8567.35+22476.66+1292.01+10655.62+4946.22+5457.87+5164.4</f>
        <v>73939.81</v>
      </c>
      <c r="Q182" s="27"/>
      <c r="R182" s="31"/>
    </row>
    <row r="183" spans="1:18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26</v>
      </c>
      <c r="I183" s="1">
        <v>5</v>
      </c>
      <c r="J183" s="44">
        <v>5</v>
      </c>
      <c r="K183" s="27">
        <f t="shared" si="6"/>
        <v>0</v>
      </c>
      <c r="L183" s="27"/>
      <c r="M183" s="27"/>
      <c r="N183" s="1">
        <v>16</v>
      </c>
      <c r="O183" s="27">
        <f t="shared" si="4"/>
        <v>13923.82</v>
      </c>
      <c r="P183" s="27">
        <v>13923.82</v>
      </c>
      <c r="Q183" s="27"/>
      <c r="R183" s="31"/>
    </row>
    <row r="184" spans="1:1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7</v>
      </c>
      <c r="I184" s="1"/>
      <c r="J184" s="26"/>
      <c r="K184" s="27">
        <f t="shared" si="6"/>
        <v>0</v>
      </c>
      <c r="L184" s="27"/>
      <c r="M184" s="27"/>
      <c r="N184" s="1"/>
      <c r="O184" s="27">
        <f t="shared" si="4"/>
        <v>27541.74</v>
      </c>
      <c r="P184" s="27">
        <f>8928+13420.68+5193.06</f>
        <v>27541.74</v>
      </c>
      <c r="Q184" s="27"/>
      <c r="R184" s="31"/>
    </row>
    <row r="185" spans="1:1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466</v>
      </c>
      <c r="G185" s="23" t="s">
        <v>136</v>
      </c>
      <c r="H185" s="25">
        <v>8</v>
      </c>
      <c r="I185" s="2"/>
      <c r="J185" s="26"/>
      <c r="K185" s="27">
        <f t="shared" si="6"/>
        <v>0</v>
      </c>
      <c r="L185" s="27"/>
      <c r="M185" s="27"/>
      <c r="N185" s="2">
        <v>3</v>
      </c>
      <c r="O185" s="27">
        <f t="shared" si="4"/>
        <v>0</v>
      </c>
      <c r="P185" s="27"/>
      <c r="Q185" s="27"/>
      <c r="R185" s="31"/>
    </row>
    <row r="186" spans="1:1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660.75</v>
      </c>
      <c r="P186" s="27">
        <f>660.75</f>
        <v>660.75</v>
      </c>
      <c r="Q186" s="27"/>
      <c r="R186" s="31"/>
    </row>
    <row r="187" spans="1:1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469</v>
      </c>
      <c r="G187" s="23" t="s">
        <v>122</v>
      </c>
      <c r="H187" s="25">
        <v>25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17</v>
      </c>
      <c r="O187" s="27">
        <f t="shared" si="4"/>
        <v>39483.94</v>
      </c>
      <c r="P187" s="27">
        <v>39483.94</v>
      </c>
      <c r="Q187" s="27"/>
      <c r="R187" s="31"/>
    </row>
    <row r="188" spans="1:1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9</v>
      </c>
      <c r="I188" s="1">
        <v>2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31"/>
    </row>
    <row r="189" spans="1:1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11</v>
      </c>
      <c r="I189" s="2">
        <v>3</v>
      </c>
      <c r="J189" s="26">
        <v>3</v>
      </c>
      <c r="K189" s="27">
        <f t="shared" si="6"/>
        <v>0</v>
      </c>
      <c r="L189" s="27"/>
      <c r="M189" s="27"/>
      <c r="N189" s="2">
        <v>6</v>
      </c>
      <c r="O189" s="27">
        <f t="shared" si="4"/>
        <v>17972.400000000001</v>
      </c>
      <c r="P189" s="27">
        <v>17972.400000000001</v>
      </c>
      <c r="Q189" s="27"/>
      <c r="R189" s="31"/>
    </row>
    <row r="190" spans="1:1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23</v>
      </c>
      <c r="I190" s="2">
        <v>20</v>
      </c>
      <c r="J190" s="26">
        <v>19</v>
      </c>
      <c r="K190" s="27">
        <f>L190+M190</f>
        <v>7701.71</v>
      </c>
      <c r="L190" s="27">
        <f>7701.71</f>
        <v>7701.71</v>
      </c>
      <c r="M190" s="27"/>
      <c r="N190" s="2"/>
      <c r="O190" s="27"/>
      <c r="P190" s="27"/>
      <c r="Q190" s="27"/>
      <c r="R190" s="31"/>
    </row>
    <row r="191" spans="1:1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31"/>
    </row>
    <row r="192" spans="1:1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31"/>
    </row>
    <row r="193" spans="1:19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31"/>
    </row>
    <row r="194" spans="1:19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31"/>
    </row>
    <row r="195" spans="1:19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36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5</v>
      </c>
      <c r="O195" s="27">
        <f t="shared" si="7"/>
        <v>14077.71</v>
      </c>
      <c r="P195" s="27">
        <v>14077.71</v>
      </c>
      <c r="Q195" s="27"/>
      <c r="R195" s="31"/>
    </row>
    <row r="196" spans="1:19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31"/>
    </row>
    <row r="197" spans="1:19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21</v>
      </c>
      <c r="I197" s="1">
        <v>12</v>
      </c>
      <c r="J197" s="44">
        <v>12</v>
      </c>
      <c r="K197" s="27">
        <f t="shared" si="6"/>
        <v>0</v>
      </c>
      <c r="L197" s="27"/>
      <c r="M197" s="27"/>
      <c r="N197" s="1">
        <v>25</v>
      </c>
      <c r="O197" s="27">
        <f t="shared" si="7"/>
        <v>33365.57</v>
      </c>
      <c r="P197" s="27">
        <f>2707.13+2929.33+825.14+2229.94+21058.63+3615.4</f>
        <v>33365.57</v>
      </c>
      <c r="Q197" s="27"/>
      <c r="R197" s="31"/>
    </row>
    <row r="198" spans="1:19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31"/>
    </row>
    <row r="199" spans="1:19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31"/>
    </row>
    <row r="200" spans="1:19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10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31"/>
    </row>
    <row r="201" spans="1:19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3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31"/>
    </row>
    <row r="202" spans="1:19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3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31"/>
    </row>
    <row r="203" spans="1:19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2040</v>
      </c>
      <c r="I203" s="88">
        <f>SUM(I10:I202)</f>
        <v>894</v>
      </c>
      <c r="J203" s="88">
        <f>SUM(J10:J202)</f>
        <v>869</v>
      </c>
      <c r="K203" s="90">
        <f>SUM(K10:K202)</f>
        <v>238020.1</v>
      </c>
      <c r="L203" s="90">
        <f t="shared" ref="L203:Q203" si="8">SUM(L10:L202)</f>
        <v>238020.1</v>
      </c>
      <c r="M203" s="88">
        <f t="shared" si="8"/>
        <v>0</v>
      </c>
      <c r="N203" s="88">
        <f t="shared" si="8"/>
        <v>933</v>
      </c>
      <c r="O203" s="90">
        <f>SUM(O10:O202)</f>
        <v>1529382.69</v>
      </c>
      <c r="P203" s="90">
        <f>SUM(P10:P202)</f>
        <v>1529382.69</v>
      </c>
      <c r="Q203" s="88">
        <f t="shared" si="8"/>
        <v>0</v>
      </c>
      <c r="R203" s="31"/>
    </row>
    <row r="204" spans="1:19" ht="15" customHeight="1">
      <c r="A204" s="24"/>
      <c r="B204" s="23"/>
      <c r="C204" s="24"/>
      <c r="D204" s="23"/>
      <c r="E204" s="23"/>
      <c r="F204" s="23"/>
      <c r="G204" s="23"/>
      <c r="H204" s="98"/>
      <c r="I204" s="98"/>
      <c r="J204" s="98"/>
      <c r="K204" s="98"/>
      <c r="L204" s="98"/>
      <c r="M204" s="98"/>
      <c r="N204" s="98"/>
      <c r="O204" s="98"/>
      <c r="P204" s="24"/>
      <c r="Q204" s="24"/>
      <c r="R204" s="31"/>
    </row>
    <row r="205" spans="1:19">
      <c r="R205" s="31"/>
    </row>
    <row r="206" spans="1:19">
      <c r="K206" s="31"/>
      <c r="L206" s="31"/>
      <c r="M206" s="31"/>
    </row>
    <row r="207" spans="1:19">
      <c r="K207" s="31"/>
      <c r="L207" s="31"/>
      <c r="N207" s="31"/>
      <c r="O207" s="31"/>
    </row>
    <row r="208" spans="1:19">
      <c r="K208" s="31"/>
      <c r="L208" s="31"/>
      <c r="M208" s="31"/>
      <c r="N208" s="31"/>
      <c r="O208" s="31"/>
      <c r="P208" s="31"/>
      <c r="Q208" s="31"/>
      <c r="S208" s="31"/>
    </row>
    <row r="209" spans="11:19">
      <c r="K209" s="31"/>
      <c r="L209" s="31"/>
      <c r="M209" s="31"/>
      <c r="N209" s="31"/>
      <c r="O209" s="31"/>
      <c r="P209" s="31"/>
      <c r="Q209" s="31"/>
    </row>
    <row r="210" spans="11:19">
      <c r="K210" s="31"/>
      <c r="L210" s="31"/>
      <c r="M210" s="31"/>
      <c r="N210" s="31"/>
      <c r="O210" s="31"/>
      <c r="P210" s="31"/>
      <c r="Q210" s="31"/>
    </row>
    <row r="211" spans="11:19">
      <c r="K211" s="31"/>
      <c r="L211" s="31"/>
      <c r="M211" s="31"/>
      <c r="N211" s="31"/>
      <c r="O211" s="31"/>
      <c r="P211" s="31"/>
      <c r="Q211" s="31"/>
    </row>
    <row r="212" spans="11:19">
      <c r="K212" s="31"/>
      <c r="L212" s="31"/>
      <c r="M212" s="31"/>
      <c r="N212" s="31"/>
      <c r="O212" s="31"/>
      <c r="P212" s="31"/>
      <c r="Q212" s="31"/>
      <c r="S212" s="31"/>
    </row>
    <row r="214" spans="11:19">
      <c r="K214" s="31"/>
      <c r="O214" s="31"/>
      <c r="P214" s="31"/>
    </row>
    <row r="217" spans="11:19">
      <c r="O217" s="31"/>
    </row>
    <row r="218" spans="11:19">
      <c r="L218" s="31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R218"/>
  <sheetViews>
    <sheetView topLeftCell="B168" zoomScale="78" zoomScaleNormal="78" workbookViewId="0">
      <selection activeCell="H202" sqref="A7:Q203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18</v>
      </c>
      <c r="I11" s="1">
        <v>9</v>
      </c>
      <c r="J11" s="26">
        <v>9</v>
      </c>
      <c r="K11" s="27">
        <f t="shared" ref="K11:K85" si="2">L11+M11</f>
        <v>0</v>
      </c>
      <c r="L11" s="27"/>
      <c r="M11" s="27"/>
      <c r="N11" s="1">
        <v>16</v>
      </c>
      <c r="O11" s="27">
        <f t="shared" si="1"/>
        <v>21144</v>
      </c>
      <c r="P11" s="27">
        <v>21144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21</v>
      </c>
      <c r="I12" s="1">
        <v>4</v>
      </c>
      <c r="J12" s="26">
        <v>5</v>
      </c>
      <c r="K12" s="27">
        <f t="shared" si="2"/>
        <v>0</v>
      </c>
      <c r="L12" s="27"/>
      <c r="M12" s="27"/>
      <c r="N12" s="1">
        <v>9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22</v>
      </c>
      <c r="I14" s="1">
        <v>7</v>
      </c>
      <c r="J14" s="26">
        <v>12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16</v>
      </c>
      <c r="J15" s="26">
        <v>16</v>
      </c>
      <c r="K15" s="27">
        <f t="shared" si="2"/>
        <v>0</v>
      </c>
      <c r="L15" s="27"/>
      <c r="M15" s="27"/>
      <c r="N15" s="2">
        <v>11</v>
      </c>
      <c r="O15" s="27">
        <f t="shared" si="1"/>
        <v>12739.4</v>
      </c>
      <c r="P15" s="27">
        <v>12739.4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42</v>
      </c>
      <c r="I16" s="1">
        <v>27</v>
      </c>
      <c r="J16" s="26">
        <v>32</v>
      </c>
      <c r="K16" s="27">
        <f t="shared" si="2"/>
        <v>13586.04</v>
      </c>
      <c r="L16" s="27">
        <f>4556.63+4600.8+4428.61</f>
        <v>13586.04</v>
      </c>
      <c r="M16" s="27"/>
      <c r="N16" s="1">
        <v>21</v>
      </c>
      <c r="O16" s="27">
        <f t="shared" si="1"/>
        <v>47356.040000000008</v>
      </c>
      <c r="P16" s="27">
        <f>9373.48+1765.32+2881.47+14555.74+1792.06+3628.8+10310.59+3048.58</f>
        <v>47356.040000000008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1367.31</v>
      </c>
      <c r="P19" s="27">
        <f>1367.31</f>
        <v>1367.31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35</v>
      </c>
      <c r="I20" s="1">
        <v>24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58770.28</v>
      </c>
      <c r="P20" s="27">
        <f>4072.37+2831.63+9295.25+1395.5+16947.28+5032.27+19195.98</f>
        <v>58770.28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7</v>
      </c>
      <c r="I22" s="2"/>
      <c r="J22" s="26"/>
      <c r="K22" s="27">
        <f t="shared" si="2"/>
        <v>0</v>
      </c>
      <c r="L22" s="27"/>
      <c r="M22" s="27"/>
      <c r="N22" s="2">
        <v>11</v>
      </c>
      <c r="O22" s="27">
        <f t="shared" si="1"/>
        <v>8281.4</v>
      </c>
      <c r="P22" s="27">
        <v>8281.4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6214.5599999999995</v>
      </c>
      <c r="P23" s="27">
        <f>488.18+2791.37+2935.01</f>
        <v>6214.5599999999995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2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4086.08</v>
      </c>
      <c r="L26" s="27">
        <f>4086.08</f>
        <v>4086.08</v>
      </c>
      <c r="M26" s="27"/>
      <c r="N26" s="1">
        <v>3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8</v>
      </c>
      <c r="J27" s="44">
        <v>9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20</v>
      </c>
      <c r="I29" s="1">
        <v>10</v>
      </c>
      <c r="J29" s="26">
        <v>11</v>
      </c>
      <c r="K29" s="27">
        <f t="shared" si="2"/>
        <v>0</v>
      </c>
      <c r="L29" s="27"/>
      <c r="M29" s="27"/>
      <c r="N29" s="1">
        <v>11</v>
      </c>
      <c r="O29" s="27">
        <f t="shared" si="1"/>
        <v>14079.12</v>
      </c>
      <c r="P29" s="27">
        <f>1585.49+7579.12+718.9+1852.33+814.04+1529.24</f>
        <v>14079.12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18</v>
      </c>
      <c r="I32" s="1">
        <v>12</v>
      </c>
      <c r="J32" s="26">
        <v>17</v>
      </c>
      <c r="K32" s="27">
        <f t="shared" si="2"/>
        <v>6122.51</v>
      </c>
      <c r="L32" s="27">
        <f>1850.1+4272.41</f>
        <v>6122.51</v>
      </c>
      <c r="M32" s="27"/>
      <c r="N32" s="1">
        <v>13</v>
      </c>
      <c r="O32" s="27">
        <f t="shared" si="1"/>
        <v>30484.04</v>
      </c>
      <c r="P32" s="27">
        <f>8353.67+11335.86+6709.68+4084.83</f>
        <v>30484.04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5</v>
      </c>
      <c r="I33" s="2"/>
      <c r="J33" s="26"/>
      <c r="K33" s="27">
        <f t="shared" si="2"/>
        <v>0</v>
      </c>
      <c r="L33" s="27"/>
      <c r="M33" s="27"/>
      <c r="N33" s="2">
        <v>4</v>
      </c>
      <c r="O33" s="27">
        <f t="shared" si="1"/>
        <v>2995.4</v>
      </c>
      <c r="P33" s="27">
        <v>2995.4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11</v>
      </c>
      <c r="I35" s="1">
        <v>1</v>
      </c>
      <c r="J35" s="26">
        <v>1</v>
      </c>
      <c r="K35" s="27">
        <f t="shared" si="2"/>
        <v>0</v>
      </c>
      <c r="L35" s="27"/>
      <c r="M35" s="27"/>
      <c r="N35" s="1">
        <v>7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14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15</v>
      </c>
      <c r="I37" s="2"/>
      <c r="J37" s="26"/>
      <c r="K37" s="27">
        <f t="shared" si="2"/>
        <v>0</v>
      </c>
      <c r="L37" s="27"/>
      <c r="M37" s="27"/>
      <c r="N37" s="2">
        <v>6</v>
      </c>
      <c r="O37" s="27">
        <f t="shared" si="1"/>
        <v>7136.1</v>
      </c>
      <c r="P37" s="27">
        <v>7136.1</v>
      </c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16</v>
      </c>
      <c r="I38" s="1">
        <v>10</v>
      </c>
      <c r="J38" s="26">
        <v>12</v>
      </c>
      <c r="K38" s="27">
        <f t="shared" si="2"/>
        <v>0</v>
      </c>
      <c r="L38" s="27"/>
      <c r="M38" s="27"/>
      <c r="N38" s="1">
        <v>10</v>
      </c>
      <c r="O38" s="27">
        <f t="shared" si="1"/>
        <v>20107.939999999999</v>
      </c>
      <c r="P38" s="27">
        <f>984.25+2870.5+11957.46+2947.8+1347.93</f>
        <v>20107.939999999999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13</v>
      </c>
      <c r="I39" s="2">
        <v>3</v>
      </c>
      <c r="J39" s="26">
        <v>3</v>
      </c>
      <c r="K39" s="27">
        <f t="shared" si="2"/>
        <v>0</v>
      </c>
      <c r="L39" s="27"/>
      <c r="M39" s="27"/>
      <c r="N39" s="2">
        <v>9</v>
      </c>
      <c r="O39" s="27">
        <f t="shared" si="1"/>
        <v>2466.8000000000002</v>
      </c>
      <c r="P39" s="27">
        <v>2466.8000000000002</v>
      </c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9</v>
      </c>
      <c r="I40" s="1">
        <v>3</v>
      </c>
      <c r="J40" s="26">
        <v>3</v>
      </c>
      <c r="K40" s="27">
        <f t="shared" si="2"/>
        <v>0</v>
      </c>
      <c r="L40" s="27"/>
      <c r="M40" s="27"/>
      <c r="N40" s="1">
        <v>6</v>
      </c>
      <c r="O40" s="27">
        <f t="shared" si="1"/>
        <v>3986.12</v>
      </c>
      <c r="P40" s="27">
        <f>1233.4+2752.72</f>
        <v>3986.12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11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23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8</v>
      </c>
      <c r="I45" s="1"/>
      <c r="J45" s="26"/>
      <c r="K45" s="27">
        <f t="shared" si="2"/>
        <v>0</v>
      </c>
      <c r="L45" s="27"/>
      <c r="M45" s="27"/>
      <c r="N45" s="1">
        <v>5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8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9</v>
      </c>
      <c r="I47" s="1">
        <v>2</v>
      </c>
      <c r="J47" s="26">
        <v>2</v>
      </c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15</v>
      </c>
      <c r="I48" s="1">
        <v>14</v>
      </c>
      <c r="J48" s="26">
        <v>16</v>
      </c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1</v>
      </c>
      <c r="J49" s="26">
        <v>1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12</v>
      </c>
      <c r="J50" s="26">
        <v>12</v>
      </c>
      <c r="K50" s="27">
        <f t="shared" si="2"/>
        <v>6913.6</v>
      </c>
      <c r="L50" s="27">
        <v>6913.6</v>
      </c>
      <c r="M50" s="27"/>
      <c r="N50" s="1">
        <v>7</v>
      </c>
      <c r="O50" s="27">
        <f t="shared" si="1"/>
        <v>21680.73</v>
      </c>
      <c r="P50" s="27">
        <f>6837.93+3382.02+3633.83+6541.43+1285.52</f>
        <v>21680.73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9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7</v>
      </c>
      <c r="J53" s="26">
        <v>7</v>
      </c>
      <c r="K53" s="27">
        <f t="shared" si="2"/>
        <v>0</v>
      </c>
      <c r="L53" s="27"/>
      <c r="M53" s="27"/>
      <c r="N53" s="1">
        <v>6</v>
      </c>
      <c r="O53" s="27">
        <f t="shared" si="1"/>
        <v>27742.65</v>
      </c>
      <c r="P53" s="27">
        <f>10258.95+12559.55+4924.15</f>
        <v>27742.65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477</v>
      </c>
      <c r="G54" s="23" t="s">
        <v>136</v>
      </c>
      <c r="H54" s="25">
        <v>10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2819.2</v>
      </c>
      <c r="P54" s="27">
        <v>2819.2</v>
      </c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2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 t="s">
        <v>478</v>
      </c>
      <c r="G56" s="23" t="s">
        <v>136</v>
      </c>
      <c r="H56" s="25">
        <v>11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15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35</v>
      </c>
      <c r="I59" s="26">
        <v>15</v>
      </c>
      <c r="J59" s="26">
        <v>15</v>
      </c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31</v>
      </c>
      <c r="I60" s="1">
        <v>18</v>
      </c>
      <c r="J60" s="26">
        <v>18</v>
      </c>
      <c r="K60" s="27">
        <f t="shared" si="2"/>
        <v>14443.96</v>
      </c>
      <c r="L60" s="27">
        <v>14443.96</v>
      </c>
      <c r="M60" s="27"/>
      <c r="N60" s="1">
        <v>16</v>
      </c>
      <c r="O60" s="27">
        <f t="shared" si="1"/>
        <v>26962.52</v>
      </c>
      <c r="P60" s="27">
        <f>2817.33+2170.4+4145.27+17829.52</f>
        <v>26962.52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21</v>
      </c>
      <c r="I61" s="1">
        <v>12</v>
      </c>
      <c r="J61" s="26">
        <v>12</v>
      </c>
      <c r="K61" s="27">
        <f t="shared" si="2"/>
        <v>1602.98</v>
      </c>
      <c r="L61" s="27">
        <f>1602.98</f>
        <v>1602.98</v>
      </c>
      <c r="M61" s="27"/>
      <c r="N61" s="1">
        <v>10</v>
      </c>
      <c r="O61" s="27">
        <f t="shared" si="1"/>
        <v>19108.77</v>
      </c>
      <c r="P61" s="27">
        <f>3558.78+6542.54+4585.89+4121.56+300</f>
        <v>19108.77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480</v>
      </c>
      <c r="G62" s="23" t="s">
        <v>122</v>
      </c>
      <c r="H62" s="25">
        <v>17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11</v>
      </c>
      <c r="J63" s="26">
        <v>13</v>
      </c>
      <c r="K63" s="27">
        <f t="shared" si="2"/>
        <v>0</v>
      </c>
      <c r="L63" s="27"/>
      <c r="M63" s="27"/>
      <c r="N63" s="1">
        <v>20</v>
      </c>
      <c r="O63" s="27">
        <f t="shared" si="1"/>
        <v>21556.080000000002</v>
      </c>
      <c r="P63" s="27">
        <f>3793.8+8092.08+9670.2</f>
        <v>21556.080000000002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8</v>
      </c>
      <c r="J64" s="26">
        <v>8</v>
      </c>
      <c r="K64" s="27">
        <f t="shared" si="2"/>
        <v>0</v>
      </c>
      <c r="L64" s="27"/>
      <c r="M64" s="27"/>
      <c r="N64" s="1">
        <v>19</v>
      </c>
      <c r="O64" s="27">
        <f t="shared" si="1"/>
        <v>8299.02</v>
      </c>
      <c r="P64" s="27">
        <v>8299.02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17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7690.6</v>
      </c>
      <c r="P65" s="27">
        <f>1487.48+1918.48+4284.64</f>
        <v>7690.6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17337.38</v>
      </c>
      <c r="P66" s="27">
        <f>1353.94+9352.06+1852.4+3552.19+1226.79</f>
        <v>17337.38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12</v>
      </c>
      <c r="I68" s="1">
        <v>5</v>
      </c>
      <c r="J68" s="26">
        <v>5</v>
      </c>
      <c r="K68" s="27">
        <f t="shared" si="2"/>
        <v>0</v>
      </c>
      <c r="L68" s="27"/>
      <c r="M68" s="27"/>
      <c r="N68" s="1">
        <v>5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11</v>
      </c>
      <c r="I69" s="2">
        <v>3</v>
      </c>
      <c r="J69" s="26">
        <v>3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24</v>
      </c>
      <c r="I70" s="2">
        <v>15</v>
      </c>
      <c r="J70" s="26">
        <v>15</v>
      </c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30</v>
      </c>
      <c r="I71" s="1">
        <v>17</v>
      </c>
      <c r="J71" s="26">
        <v>17</v>
      </c>
      <c r="K71" s="27">
        <f t="shared" si="2"/>
        <v>2199.6799999999998</v>
      </c>
      <c r="L71" s="27">
        <f>2199.68</f>
        <v>2199.6799999999998</v>
      </c>
      <c r="M71" s="27"/>
      <c r="N71" s="1">
        <v>17</v>
      </c>
      <c r="O71" s="27">
        <f t="shared" si="1"/>
        <v>87678.12</v>
      </c>
      <c r="P71" s="27">
        <f>8536.41+1900.55+1810.72+5409.65+1602.49+6411.71+6033.69+27487.21+5155.58+12470.56+10859.55</f>
        <v>87678.12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28</v>
      </c>
      <c r="I73" s="1">
        <v>16</v>
      </c>
      <c r="J73" s="26">
        <v>16</v>
      </c>
      <c r="K73" s="27">
        <f t="shared" si="2"/>
        <v>3339.42</v>
      </c>
      <c r="L73" s="27">
        <f>607.08+2732.34</f>
        <v>3339.42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476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10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28363.64</v>
      </c>
      <c r="P75" s="27">
        <v>28363.64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472</v>
      </c>
      <c r="G76" s="23" t="s">
        <v>210</v>
      </c>
      <c r="H76" s="25">
        <v>4</v>
      </c>
      <c r="I76" s="1">
        <v>2</v>
      </c>
      <c r="J76" s="26">
        <v>2</v>
      </c>
      <c r="K76" s="27">
        <f t="shared" si="2"/>
        <v>0</v>
      </c>
      <c r="L76" s="27"/>
      <c r="M76" s="27"/>
      <c r="N76" s="1">
        <v>10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16</v>
      </c>
      <c r="I77" s="1">
        <v>6</v>
      </c>
      <c r="J77" s="26">
        <v>6</v>
      </c>
      <c r="K77" s="27">
        <f t="shared" si="2"/>
        <v>4400.6000000000004</v>
      </c>
      <c r="L77" s="27">
        <v>4400.6000000000004</v>
      </c>
      <c r="M77" s="27"/>
      <c r="N77" s="1">
        <v>16</v>
      </c>
      <c r="O77" s="27">
        <f t="shared" si="1"/>
        <v>46129.759999999995</v>
      </c>
      <c r="P77" s="27">
        <f>5457.7+9775.17+3631.18+27265.71</f>
        <v>46129.759999999995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14</v>
      </c>
      <c r="I78" s="2"/>
      <c r="J78" s="26"/>
      <c r="K78" s="27">
        <f t="shared" si="2"/>
        <v>0</v>
      </c>
      <c r="L78" s="27"/>
      <c r="M78" s="27"/>
      <c r="N78" s="2">
        <v>12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8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11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53</v>
      </c>
      <c r="I83" s="1">
        <v>28</v>
      </c>
      <c r="J83" s="26">
        <v>28</v>
      </c>
      <c r="K83" s="27">
        <f t="shared" si="2"/>
        <v>5547.55</v>
      </c>
      <c r="L83" s="27">
        <f>5547.55</f>
        <v>5547.55</v>
      </c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33</v>
      </c>
      <c r="I86" s="1">
        <v>28</v>
      </c>
      <c r="J86" s="26">
        <v>29</v>
      </c>
      <c r="K86" s="27">
        <f t="shared" ref="K86:K154" si="3">L86+M86</f>
        <v>12507.07</v>
      </c>
      <c r="L86" s="27">
        <f>5061.86+7445.21</f>
        <v>12507.07</v>
      </c>
      <c r="M86" s="27"/>
      <c r="N86" s="1">
        <v>13</v>
      </c>
      <c r="O86" s="27">
        <f t="shared" si="1"/>
        <v>17059.530000000002</v>
      </c>
      <c r="P86" s="27">
        <f>1369.13+3431.04+7740.64+2536.47+920.62+1061.63</f>
        <v>17059.530000000002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9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6</v>
      </c>
      <c r="J91" s="26">
        <v>6</v>
      </c>
      <c r="K91" s="27">
        <f t="shared" si="3"/>
        <v>0</v>
      </c>
      <c r="L91" s="27"/>
      <c r="M91" s="27"/>
      <c r="N91" s="2">
        <v>4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4</v>
      </c>
      <c r="J92" s="26">
        <v>4</v>
      </c>
      <c r="K92" s="27">
        <f t="shared" si="3"/>
        <v>0</v>
      </c>
      <c r="L92" s="27"/>
      <c r="M92" s="27"/>
      <c r="N92" s="2">
        <v>18</v>
      </c>
      <c r="O92" s="27">
        <f t="shared" si="1"/>
        <v>2819.2</v>
      </c>
      <c r="P92" s="27">
        <v>2819.2</v>
      </c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2</v>
      </c>
      <c r="O93" s="27">
        <f t="shared" ref="O93:O192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10</v>
      </c>
      <c r="I95" s="1">
        <v>5</v>
      </c>
      <c r="J95" s="26">
        <v>5</v>
      </c>
      <c r="K95" s="27">
        <f t="shared" si="3"/>
        <v>2262.4</v>
      </c>
      <c r="L95" s="27">
        <v>2262.4</v>
      </c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10878.949999999999</v>
      </c>
      <c r="P96" s="27">
        <f>1647.47+9231.48</f>
        <v>10878.949999999999</v>
      </c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23</v>
      </c>
      <c r="I101" s="1">
        <v>12</v>
      </c>
      <c r="J101" s="26">
        <v>12</v>
      </c>
      <c r="K101" s="27">
        <f t="shared" si="3"/>
        <v>2177.83</v>
      </c>
      <c r="L101" s="27">
        <f>2177.83</f>
        <v>2177.83</v>
      </c>
      <c r="M101" s="27"/>
      <c r="N101" s="1">
        <v>10</v>
      </c>
      <c r="O101" s="27">
        <f t="shared" si="4"/>
        <v>28784.010000000002</v>
      </c>
      <c r="P101" s="27">
        <f>8926.48+3667.84+9102.27+7087.42</f>
        <v>28784.010000000002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13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13</v>
      </c>
      <c r="I103" s="1">
        <v>2</v>
      </c>
      <c r="J103" s="26">
        <v>2</v>
      </c>
      <c r="K103" s="27">
        <f t="shared" si="3"/>
        <v>1057.2</v>
      </c>
      <c r="L103" s="27">
        <v>1057.2</v>
      </c>
      <c r="M103" s="27"/>
      <c r="N103" s="1"/>
      <c r="O103" s="27">
        <f t="shared" si="4"/>
        <v>0</v>
      </c>
      <c r="P103" s="28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467</v>
      </c>
      <c r="G104" s="23" t="s">
        <v>136</v>
      </c>
      <c r="H104" s="25">
        <v>26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17</v>
      </c>
      <c r="I105" s="1">
        <v>12</v>
      </c>
      <c r="J105" s="26">
        <v>14</v>
      </c>
      <c r="K105" s="27">
        <f t="shared" si="3"/>
        <v>2637.71</v>
      </c>
      <c r="L105" s="27">
        <f>977.91+1659.8</f>
        <v>2637.71</v>
      </c>
      <c r="M105" s="27"/>
      <c r="N105" s="1">
        <v>18</v>
      </c>
      <c r="O105" s="27">
        <f>P105+Q105</f>
        <v>81455.08</v>
      </c>
      <c r="P105" s="27">
        <f>7142.66+6007.6+11985.28+16853.32+13359.63+12185.56+13921.03</f>
        <v>81455.08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21</v>
      </c>
      <c r="I106" s="1">
        <v>4</v>
      </c>
      <c r="J106" s="26">
        <v>4</v>
      </c>
      <c r="K106" s="27">
        <f t="shared" si="3"/>
        <v>0</v>
      </c>
      <c r="L106" s="27"/>
      <c r="M106" s="27"/>
      <c r="N106" s="1">
        <v>17</v>
      </c>
      <c r="O106" s="27">
        <f>P106+Q106</f>
        <v>10660.1</v>
      </c>
      <c r="P106" s="27">
        <v>10660.1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22</v>
      </c>
      <c r="I107" s="2">
        <v>4</v>
      </c>
      <c r="J107" s="26">
        <v>4</v>
      </c>
      <c r="K107" s="27">
        <f t="shared" si="3"/>
        <v>0</v>
      </c>
      <c r="L107" s="27"/>
      <c r="M107" s="27"/>
      <c r="N107" s="2">
        <v>27</v>
      </c>
      <c r="O107" s="27">
        <f>P107+Q107</f>
        <v>42079.31</v>
      </c>
      <c r="P107" s="35">
        <v>42079.31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>
        <v>1</v>
      </c>
      <c r="J109" s="26">
        <v>1</v>
      </c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9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3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17</v>
      </c>
      <c r="I111" s="2">
        <v>12</v>
      </c>
      <c r="J111" s="26">
        <v>13</v>
      </c>
      <c r="K111" s="27">
        <v>0</v>
      </c>
      <c r="L111" s="27"/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13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10</v>
      </c>
      <c r="I113" s="2">
        <v>2</v>
      </c>
      <c r="J113" s="26">
        <v>2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26</v>
      </c>
      <c r="I114" s="1">
        <v>21</v>
      </c>
      <c r="J114" s="26">
        <v>21</v>
      </c>
      <c r="K114" s="27">
        <f t="shared" si="3"/>
        <v>17351.93</v>
      </c>
      <c r="L114" s="27">
        <f>6292.32+11059.61</f>
        <v>17351.93</v>
      </c>
      <c r="M114" s="27"/>
      <c r="N114" s="1">
        <v>9</v>
      </c>
      <c r="O114" s="27">
        <f t="shared" si="4"/>
        <v>25029.530000000002</v>
      </c>
      <c r="P114" s="27">
        <f>3646.63+15405.61+207.55+4651.68+1118.06</f>
        <v>25029.530000000002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24</v>
      </c>
      <c r="I118" s="1">
        <v>17</v>
      </c>
      <c r="J118" s="26">
        <v>22</v>
      </c>
      <c r="K118" s="27">
        <f t="shared" si="3"/>
        <v>13736.86</v>
      </c>
      <c r="L118" s="27">
        <f>868.67+12868.19</f>
        <v>13736.86</v>
      </c>
      <c r="M118" s="27"/>
      <c r="N118" s="1">
        <v>9</v>
      </c>
      <c r="O118" s="27">
        <f t="shared" si="4"/>
        <v>34241.86</v>
      </c>
      <c r="P118" s="27">
        <f>3333.95+1419.74+6665.65+8634.68+1726.54+12461.3</f>
        <v>34241.86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20</v>
      </c>
      <c r="I120" s="1">
        <v>3</v>
      </c>
      <c r="J120" s="26">
        <v>3</v>
      </c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21</v>
      </c>
      <c r="I122" s="1">
        <v>6</v>
      </c>
      <c r="J122" s="26">
        <v>6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7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14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7736.87</v>
      </c>
      <c r="P124" s="27">
        <f>2479.17+3260.79+1996.91</f>
        <v>7736.87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3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21</v>
      </c>
      <c r="I126" s="1">
        <v>15</v>
      </c>
      <c r="J126" s="26">
        <v>15</v>
      </c>
      <c r="K126" s="27">
        <f t="shared" si="3"/>
        <v>4799.6900000000005</v>
      </c>
      <c r="L126" s="27">
        <f>2262.41+2537.28</f>
        <v>4799.6900000000005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481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46</v>
      </c>
      <c r="I128" s="1">
        <v>39</v>
      </c>
      <c r="J128" s="26">
        <v>39</v>
      </c>
      <c r="K128" s="27">
        <f t="shared" si="3"/>
        <v>14837.82</v>
      </c>
      <c r="L128" s="27">
        <f>4622.62+10215.2</f>
        <v>14837.82</v>
      </c>
      <c r="M128" s="27"/>
      <c r="N128" s="1">
        <v>13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473</v>
      </c>
      <c r="G129" s="23" t="s">
        <v>131</v>
      </c>
      <c r="H129" s="25">
        <v>13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21</v>
      </c>
      <c r="I130" s="1">
        <v>16</v>
      </c>
      <c r="J130" s="26">
        <v>18</v>
      </c>
      <c r="K130" s="27">
        <f t="shared" si="3"/>
        <v>6912.33</v>
      </c>
      <c r="L130" s="27">
        <f>1150.59+5761.74</f>
        <v>6912.33</v>
      </c>
      <c r="M130" s="27"/>
      <c r="N130" s="1">
        <v>10</v>
      </c>
      <c r="O130" s="27">
        <f t="shared" si="4"/>
        <v>16519.240000000002</v>
      </c>
      <c r="P130" s="27">
        <f>919.46+2791.44+2825.9+1143.1+4609.59+4061.35+168.4</f>
        <v>16519.240000000002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37" t="s">
        <v>468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22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23205.66</v>
      </c>
      <c r="P132" s="27">
        <f>6606.63+11561.65+5037.38</f>
        <v>23205.66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38</v>
      </c>
      <c r="I133" s="1">
        <v>7</v>
      </c>
      <c r="J133" s="26">
        <v>7</v>
      </c>
      <c r="K133" s="27">
        <f t="shared" si="3"/>
        <v>0</v>
      </c>
      <c r="L133" s="27"/>
      <c r="M133" s="27"/>
      <c r="N133" s="1">
        <v>17</v>
      </c>
      <c r="O133" s="27">
        <f t="shared" si="4"/>
        <v>3039.46</v>
      </c>
      <c r="P133" s="27">
        <v>3039.46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22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22081.42</v>
      </c>
      <c r="P134" s="27">
        <f>1359.87+2464.36+5364.57+11322.68+1569.94</f>
        <v>22081.42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5</v>
      </c>
      <c r="I135" s="1">
        <v>1</v>
      </c>
      <c r="J135" s="26">
        <v>1</v>
      </c>
      <c r="K135" s="27">
        <f t="shared" si="3"/>
        <v>0</v>
      </c>
      <c r="L135" s="27"/>
      <c r="M135" s="27"/>
      <c r="N135" s="1">
        <v>3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22</v>
      </c>
      <c r="I137" s="1">
        <v>4</v>
      </c>
      <c r="J137" s="44">
        <v>4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21</v>
      </c>
      <c r="I138" s="1">
        <v>11</v>
      </c>
      <c r="J138" s="26">
        <v>11</v>
      </c>
      <c r="K138" s="27">
        <f t="shared" si="3"/>
        <v>0</v>
      </c>
      <c r="L138" s="27"/>
      <c r="M138" s="27"/>
      <c r="N138" s="1">
        <v>9</v>
      </c>
      <c r="O138" s="27">
        <f t="shared" si="4"/>
        <v>8335.1500000000015</v>
      </c>
      <c r="P138" s="27">
        <f>1217+2961.61+4156.54</f>
        <v>8335.1500000000015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13</v>
      </c>
      <c r="I139" s="1"/>
      <c r="J139" s="26"/>
      <c r="K139" s="27">
        <f t="shared" si="3"/>
        <v>0</v>
      </c>
      <c r="L139" s="27"/>
      <c r="M139" s="27"/>
      <c r="N139" s="1">
        <v>7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13</v>
      </c>
      <c r="I140" s="1">
        <v>6</v>
      </c>
      <c r="J140" s="26">
        <v>6</v>
      </c>
      <c r="K140" s="27">
        <f t="shared" si="3"/>
        <v>1251.72</v>
      </c>
      <c r="L140" s="27">
        <f>1251.72</f>
        <v>1251.72</v>
      </c>
      <c r="M140" s="27"/>
      <c r="N140" s="1">
        <v>4</v>
      </c>
      <c r="O140" s="27">
        <f t="shared" si="4"/>
        <v>9882.14</v>
      </c>
      <c r="P140" s="27">
        <f>886.32+5410.33+3585.49</f>
        <v>9882.14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470</v>
      </c>
      <c r="G141" s="23" t="s">
        <v>142</v>
      </c>
      <c r="H141" s="25">
        <v>13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21863.360000000001</v>
      </c>
      <c r="P141" s="27">
        <f>8438.22+13425.14</f>
        <v>21863.360000000001</v>
      </c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479</v>
      </c>
      <c r="G142" s="23" t="s">
        <v>136</v>
      </c>
      <c r="H142" s="25">
        <v>3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261</v>
      </c>
      <c r="G145" s="23" t="s">
        <v>122</v>
      </c>
      <c r="H145" s="25">
        <v>9</v>
      </c>
      <c r="I145" s="1">
        <v>3</v>
      </c>
      <c r="J145" s="26">
        <v>3</v>
      </c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11</v>
      </c>
      <c r="I146" s="1">
        <v>5</v>
      </c>
      <c r="J146" s="26">
        <v>6</v>
      </c>
      <c r="K146" s="27">
        <f t="shared" si="3"/>
        <v>2702.63</v>
      </c>
      <c r="L146" s="27">
        <f>1279.21+1423.42</f>
        <v>2702.63</v>
      </c>
      <c r="M146" s="27"/>
      <c r="N146" s="1">
        <v>2</v>
      </c>
      <c r="O146" s="27">
        <f t="shared" si="4"/>
        <v>2640.13</v>
      </c>
      <c r="P146" s="27">
        <f>486.08+2154.05</f>
        <v>2640.13</v>
      </c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22</v>
      </c>
      <c r="I148" s="1">
        <v>3</v>
      </c>
      <c r="J148" s="26">
        <v>3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35</v>
      </c>
      <c r="I149" s="1">
        <v>23</v>
      </c>
      <c r="J149" s="26">
        <v>34</v>
      </c>
      <c r="K149" s="27">
        <f t="shared" si="3"/>
        <v>4012.07</v>
      </c>
      <c r="L149" s="27">
        <f>4012.07</f>
        <v>4012.07</v>
      </c>
      <c r="M149" s="27"/>
      <c r="N149" s="1">
        <v>9</v>
      </c>
      <c r="O149" s="27">
        <f t="shared" si="4"/>
        <v>13489.94</v>
      </c>
      <c r="P149" s="27">
        <f>5675.37+2740.58+5073.99</f>
        <v>13489.94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10</v>
      </c>
      <c r="I150" s="1">
        <v>2</v>
      </c>
      <c r="J150" s="26">
        <v>2</v>
      </c>
      <c r="K150" s="27">
        <f t="shared" si="3"/>
        <v>0</v>
      </c>
      <c r="L150" s="27"/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2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4</v>
      </c>
      <c r="J154" s="26">
        <v>4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>
        <v>1</v>
      </c>
      <c r="J155" s="26">
        <v>1</v>
      </c>
      <c r="K155" s="27">
        <f t="shared" ref="K155:K202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6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16</v>
      </c>
      <c r="I157" s="1">
        <v>13</v>
      </c>
      <c r="J157" s="26">
        <v>14</v>
      </c>
      <c r="K157" s="27">
        <f t="shared" si="6"/>
        <v>12007.23</v>
      </c>
      <c r="L157" s="27">
        <f>4990.06+7017.17</f>
        <v>12007.23</v>
      </c>
      <c r="M157" s="27"/>
      <c r="N157" s="1">
        <v>7</v>
      </c>
      <c r="O157" s="27">
        <f t="shared" si="4"/>
        <v>15710.62</v>
      </c>
      <c r="P157" s="27">
        <f>887.45+1225.31+5357.66+6830.6+1409.6</f>
        <v>15710.62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2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9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12670.26</v>
      </c>
      <c r="P163" s="27">
        <f>1061.97+8854.17+2222.88+531.24</f>
        <v>12670.26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9</v>
      </c>
      <c r="I165" s="40">
        <v>3</v>
      </c>
      <c r="J165" s="43">
        <v>3</v>
      </c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15</v>
      </c>
      <c r="I166" s="1">
        <v>3</v>
      </c>
      <c r="J166" s="26">
        <v>3</v>
      </c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11</v>
      </c>
      <c r="I167" s="1">
        <v>1</v>
      </c>
      <c r="J167" s="26">
        <v>1</v>
      </c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474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465</v>
      </c>
      <c r="G170" s="23" t="s">
        <v>136</v>
      </c>
      <c r="H170" s="25">
        <v>13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10</v>
      </c>
      <c r="I171" s="1">
        <v>5</v>
      </c>
      <c r="J171" s="26">
        <v>5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10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14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23296.730000000003</v>
      </c>
      <c r="P173" s="27">
        <f>4712.69+2993.76+7569.59+911.84+7108.85</f>
        <v>23296.730000000003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10</v>
      </c>
      <c r="I174" s="1">
        <v>5</v>
      </c>
      <c r="J174" s="26">
        <v>6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6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464</v>
      </c>
      <c r="G178" s="23" t="s">
        <v>136</v>
      </c>
      <c r="H178" s="25">
        <v>12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19</v>
      </c>
      <c r="O178" s="27">
        <f t="shared" si="4"/>
        <v>6343.2</v>
      </c>
      <c r="P178" s="27">
        <v>6343.2</v>
      </c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31</v>
      </c>
      <c r="I179" s="1">
        <v>23</v>
      </c>
      <c r="J179" s="26">
        <v>23</v>
      </c>
      <c r="K179" s="27">
        <f t="shared" si="6"/>
        <v>13481.74</v>
      </c>
      <c r="L179" s="27">
        <f>13481.74</f>
        <v>13481.74</v>
      </c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13</v>
      </c>
      <c r="I180" s="1"/>
      <c r="J180" s="26"/>
      <c r="K180" s="27">
        <f t="shared" si="6"/>
        <v>0</v>
      </c>
      <c r="L180" s="27"/>
      <c r="M180" s="27"/>
      <c r="N180" s="1">
        <v>7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475</v>
      </c>
      <c r="G181" s="23" t="s">
        <v>142</v>
      </c>
      <c r="H181" s="25">
        <v>13</v>
      </c>
      <c r="I181" s="1">
        <v>2</v>
      </c>
      <c r="J181" s="26">
        <v>2</v>
      </c>
      <c r="K181" s="27">
        <f t="shared" si="6"/>
        <v>0</v>
      </c>
      <c r="L181" s="27"/>
      <c r="M181" s="27"/>
      <c r="N181" s="1">
        <v>3</v>
      </c>
      <c r="O181" s="27">
        <f t="shared" si="4"/>
        <v>14026.97</v>
      </c>
      <c r="P181" s="27">
        <f>2891.29+9127.51+1007.87+1000.3</f>
        <v>14026.97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47</v>
      </c>
      <c r="I182" s="1">
        <v>31</v>
      </c>
      <c r="J182" s="26">
        <v>31</v>
      </c>
      <c r="K182" s="27">
        <f t="shared" si="6"/>
        <v>11917.66</v>
      </c>
      <c r="L182" s="27">
        <f>2547.86+9369.8</f>
        <v>11917.66</v>
      </c>
      <c r="M182" s="27"/>
      <c r="N182" s="1">
        <v>17</v>
      </c>
      <c r="O182" s="27">
        <f t="shared" si="4"/>
        <v>73939.81</v>
      </c>
      <c r="P182" s="27">
        <f>8759.8+505.2+4743.98+1370.7+8567.35+22476.66+1292.01+10655.62+4946.22+5457.87+5164.4</f>
        <v>73939.81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26</v>
      </c>
      <c r="I183" s="1">
        <v>5</v>
      </c>
      <c r="J183" s="44">
        <v>5</v>
      </c>
      <c r="K183" s="27">
        <f t="shared" si="6"/>
        <v>0</v>
      </c>
      <c r="L183" s="27"/>
      <c r="M183" s="27"/>
      <c r="N183" s="1">
        <v>16</v>
      </c>
      <c r="O183" s="27">
        <f t="shared" si="4"/>
        <v>13923.82</v>
      </c>
      <c r="P183" s="27">
        <v>13923.82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8</v>
      </c>
      <c r="I184" s="1">
        <v>6</v>
      </c>
      <c r="J184" s="26">
        <v>6</v>
      </c>
      <c r="K184" s="27">
        <f t="shared" si="6"/>
        <v>0</v>
      </c>
      <c r="L184" s="27"/>
      <c r="M184" s="27"/>
      <c r="N184" s="1">
        <v>7</v>
      </c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466</v>
      </c>
      <c r="G185" s="23" t="s">
        <v>136</v>
      </c>
      <c r="H185" s="25">
        <v>8</v>
      </c>
      <c r="I185" s="2"/>
      <c r="J185" s="26"/>
      <c r="K185" s="27">
        <f t="shared" si="6"/>
        <v>0</v>
      </c>
      <c r="L185" s="27"/>
      <c r="M185" s="27"/>
      <c r="N185" s="2">
        <v>3</v>
      </c>
      <c r="O185" s="27">
        <f t="shared" si="4"/>
        <v>0</v>
      </c>
      <c r="P185" s="27"/>
      <c r="Q185" s="27"/>
      <c r="R185" s="20"/>
    </row>
    <row r="186" spans="1:38" ht="16.5" customHeight="1">
      <c r="A186" s="24">
        <v>95</v>
      </c>
      <c r="B186" s="23" t="s">
        <v>113</v>
      </c>
      <c r="C186" s="24" t="s">
        <v>18</v>
      </c>
      <c r="D186" s="23"/>
      <c r="E186" s="23" t="s">
        <v>19</v>
      </c>
      <c r="F186" s="23" t="s">
        <v>120</v>
      </c>
      <c r="G186" s="23" t="s">
        <v>142</v>
      </c>
      <c r="H186" s="25">
        <v>0</v>
      </c>
      <c r="I186" s="1"/>
      <c r="J186" s="26"/>
      <c r="K186" s="27">
        <f t="shared" si="6"/>
        <v>0</v>
      </c>
      <c r="L186" s="27"/>
      <c r="M186" s="27"/>
      <c r="N186" s="1">
        <v>2</v>
      </c>
      <c r="O186" s="27">
        <f t="shared" si="4"/>
        <v>660.75</v>
      </c>
      <c r="P186" s="27">
        <f>660.75</f>
        <v>660.75</v>
      </c>
      <c r="Q186" s="27"/>
      <c r="R186" s="20"/>
    </row>
    <row r="187" spans="1:38" ht="18.75" customHeight="1">
      <c r="A187" s="24"/>
      <c r="B187" s="23" t="s">
        <v>113</v>
      </c>
      <c r="C187" s="24" t="s">
        <v>18</v>
      </c>
      <c r="D187" s="23"/>
      <c r="E187" s="23" t="s">
        <v>19</v>
      </c>
      <c r="F187" s="23" t="s">
        <v>469</v>
      </c>
      <c r="G187" s="23" t="s">
        <v>122</v>
      </c>
      <c r="H187" s="25">
        <v>26</v>
      </c>
      <c r="I187" s="1">
        <v>3</v>
      </c>
      <c r="J187" s="26">
        <v>3</v>
      </c>
      <c r="K187" s="27">
        <f t="shared" si="6"/>
        <v>1961.8</v>
      </c>
      <c r="L187" s="27">
        <v>1961.8</v>
      </c>
      <c r="M187" s="27"/>
      <c r="N187" s="1">
        <v>17</v>
      </c>
      <c r="O187" s="27">
        <f t="shared" si="4"/>
        <v>39483.94</v>
      </c>
      <c r="P187" s="27">
        <v>39483.94</v>
      </c>
      <c r="Q187" s="27"/>
      <c r="R187" s="20"/>
    </row>
    <row r="188" spans="1:38" ht="20.25" customHeight="1">
      <c r="A188" s="24">
        <v>96</v>
      </c>
      <c r="B188" s="23" t="s">
        <v>114</v>
      </c>
      <c r="C188" s="24" t="s">
        <v>18</v>
      </c>
      <c r="D188" s="23"/>
      <c r="E188" s="23" t="s">
        <v>41</v>
      </c>
      <c r="F188" s="23" t="s">
        <v>443</v>
      </c>
      <c r="G188" s="23" t="s">
        <v>142</v>
      </c>
      <c r="H188" s="25">
        <v>9</v>
      </c>
      <c r="I188" s="1">
        <v>1</v>
      </c>
      <c r="J188" s="26">
        <v>2</v>
      </c>
      <c r="K188" s="27">
        <f t="shared" si="6"/>
        <v>0</v>
      </c>
      <c r="L188" s="27"/>
      <c r="M188" s="27"/>
      <c r="N188" s="1">
        <v>2</v>
      </c>
      <c r="O188" s="27">
        <f t="shared" si="4"/>
        <v>12416.6</v>
      </c>
      <c r="P188" s="27">
        <f>7826.67+4589.93</f>
        <v>12416.6</v>
      </c>
      <c r="Q188" s="27"/>
      <c r="R188" s="20"/>
    </row>
    <row r="189" spans="1:38" ht="16.899999999999999" customHeight="1">
      <c r="A189" s="24"/>
      <c r="B189" s="23" t="s">
        <v>141</v>
      </c>
      <c r="C189" s="24" t="s">
        <v>18</v>
      </c>
      <c r="D189" s="23"/>
      <c r="E189" s="23" t="s">
        <v>41</v>
      </c>
      <c r="F189" s="23" t="s">
        <v>368</v>
      </c>
      <c r="G189" s="23" t="s">
        <v>136</v>
      </c>
      <c r="H189" s="25">
        <v>11</v>
      </c>
      <c r="I189" s="2">
        <v>3</v>
      </c>
      <c r="J189" s="26">
        <v>3</v>
      </c>
      <c r="K189" s="27">
        <f t="shared" si="6"/>
        <v>0</v>
      </c>
      <c r="L189" s="27"/>
      <c r="M189" s="27"/>
      <c r="N189" s="2">
        <v>6</v>
      </c>
      <c r="O189" s="27">
        <f t="shared" si="4"/>
        <v>17972.400000000001</v>
      </c>
      <c r="P189" s="27">
        <v>17972.400000000001</v>
      </c>
      <c r="Q189" s="27"/>
      <c r="R189" s="20"/>
    </row>
    <row r="190" spans="1:38" ht="16.899999999999999" customHeight="1">
      <c r="A190" s="24">
        <v>97</v>
      </c>
      <c r="B190" s="23" t="s">
        <v>309</v>
      </c>
      <c r="C190" s="24" t="s">
        <v>18</v>
      </c>
      <c r="D190" s="23"/>
      <c r="E190" s="23" t="s">
        <v>19</v>
      </c>
      <c r="F190" s="23" t="s">
        <v>442</v>
      </c>
      <c r="G190" s="23" t="s">
        <v>142</v>
      </c>
      <c r="H190" s="25">
        <v>24</v>
      </c>
      <c r="I190" s="2">
        <v>21</v>
      </c>
      <c r="J190" s="26">
        <v>22</v>
      </c>
      <c r="K190" s="27">
        <f>L190+M190</f>
        <v>7701.71</v>
      </c>
      <c r="L190" s="27">
        <f>7701.71</f>
        <v>7701.71</v>
      </c>
      <c r="M190" s="27"/>
      <c r="N190" s="2"/>
      <c r="O190" s="27"/>
      <c r="P190" s="27"/>
      <c r="Q190" s="27"/>
      <c r="R190" s="20"/>
    </row>
    <row r="191" spans="1:38" ht="16.899999999999999" customHeight="1">
      <c r="A191" s="24"/>
      <c r="B191" s="23" t="s">
        <v>309</v>
      </c>
      <c r="C191" s="24" t="s">
        <v>18</v>
      </c>
      <c r="D191" s="23"/>
      <c r="E191" s="23" t="s">
        <v>19</v>
      </c>
      <c r="F191" s="23" t="s">
        <v>343</v>
      </c>
      <c r="G191" s="23" t="s">
        <v>122</v>
      </c>
      <c r="H191" s="25">
        <v>8</v>
      </c>
      <c r="I191" s="2">
        <v>2</v>
      </c>
      <c r="J191" s="26">
        <v>2</v>
      </c>
      <c r="K191" s="27">
        <f t="shared" si="6"/>
        <v>0</v>
      </c>
      <c r="L191" s="27"/>
      <c r="M191" s="27"/>
      <c r="N191" s="2"/>
      <c r="O191" s="27">
        <f t="shared" si="4"/>
        <v>0</v>
      </c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324</v>
      </c>
      <c r="G192" s="23" t="s">
        <v>124</v>
      </c>
      <c r="H192" s="25">
        <v>0</v>
      </c>
      <c r="I192" s="2"/>
      <c r="J192" s="26"/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24.6" customHeight="1">
      <c r="A193" s="29">
        <v>98</v>
      </c>
      <c r="B193" s="30" t="s">
        <v>115</v>
      </c>
      <c r="C193" s="29" t="s">
        <v>52</v>
      </c>
      <c r="D193" s="30" t="s">
        <v>110</v>
      </c>
      <c r="E193" s="30" t="s">
        <v>19</v>
      </c>
      <c r="F193" s="30"/>
      <c r="G193" s="30" t="s">
        <v>142</v>
      </c>
      <c r="H193" s="25">
        <v>0</v>
      </c>
      <c r="I193" s="1"/>
      <c r="J193" s="26"/>
      <c r="K193" s="27">
        <f t="shared" si="6"/>
        <v>0</v>
      </c>
      <c r="L193" s="27"/>
      <c r="M193" s="27"/>
      <c r="N193" s="1">
        <v>1</v>
      </c>
      <c r="O193" s="27">
        <f t="shared" ref="O193:O197" si="7">P193+Q193</f>
        <v>0</v>
      </c>
      <c r="P193" s="27"/>
      <c r="Q193" s="27"/>
      <c r="R193" s="20"/>
    </row>
    <row r="194" spans="1:44" ht="32.25" customHeight="1">
      <c r="A194" s="29"/>
      <c r="B194" s="30" t="s">
        <v>115</v>
      </c>
      <c r="C194" s="29" t="s">
        <v>52</v>
      </c>
      <c r="D194" s="30" t="s">
        <v>110</v>
      </c>
      <c r="E194" s="30" t="s">
        <v>19</v>
      </c>
      <c r="F194" s="30" t="s">
        <v>292</v>
      </c>
      <c r="G194" s="30" t="s">
        <v>122</v>
      </c>
      <c r="H194" s="25">
        <v>0</v>
      </c>
      <c r="I194" s="1"/>
      <c r="J194" s="44"/>
      <c r="K194" s="27">
        <f t="shared" si="6"/>
        <v>0</v>
      </c>
      <c r="L194" s="27"/>
      <c r="M194" s="27"/>
      <c r="N194" s="1">
        <v>1</v>
      </c>
      <c r="O194" s="27">
        <f t="shared" si="7"/>
        <v>0</v>
      </c>
      <c r="P194" s="27"/>
      <c r="Q194" s="27"/>
      <c r="R194" s="20"/>
    </row>
    <row r="195" spans="1:44" ht="34.9" customHeight="1">
      <c r="A195" s="29">
        <v>99</v>
      </c>
      <c r="B195" s="30" t="s">
        <v>116</v>
      </c>
      <c r="C195" s="29" t="s">
        <v>52</v>
      </c>
      <c r="D195" s="30" t="s">
        <v>117</v>
      </c>
      <c r="E195" s="30" t="s">
        <v>19</v>
      </c>
      <c r="F195" s="30" t="s">
        <v>444</v>
      </c>
      <c r="G195" s="30" t="s">
        <v>142</v>
      </c>
      <c r="H195" s="25">
        <v>37</v>
      </c>
      <c r="I195" s="1">
        <v>20</v>
      </c>
      <c r="J195" s="44">
        <v>20</v>
      </c>
      <c r="K195" s="27">
        <f t="shared" si="6"/>
        <v>33986.29</v>
      </c>
      <c r="L195" s="27">
        <f>16538.14+17448.15</f>
        <v>33986.29</v>
      </c>
      <c r="M195" s="27"/>
      <c r="N195" s="1">
        <v>5</v>
      </c>
      <c r="O195" s="27">
        <f t="shared" si="7"/>
        <v>14077.71</v>
      </c>
      <c r="P195" s="27">
        <v>14077.71</v>
      </c>
      <c r="Q195" s="27"/>
      <c r="R195" s="20"/>
    </row>
    <row r="196" spans="1:44" ht="28.5" customHeight="1">
      <c r="A196" s="29">
        <v>100</v>
      </c>
      <c r="B196" s="30" t="s">
        <v>209</v>
      </c>
      <c r="C196" s="29" t="s">
        <v>18</v>
      </c>
      <c r="D196" s="30"/>
      <c r="E196" s="30" t="s">
        <v>19</v>
      </c>
      <c r="F196" s="30" t="s">
        <v>123</v>
      </c>
      <c r="G196" s="30" t="s">
        <v>142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/>
      <c r="O196" s="27">
        <f t="shared" si="7"/>
        <v>0</v>
      </c>
      <c r="P196" s="27"/>
      <c r="Q196" s="27"/>
      <c r="R196" s="20"/>
    </row>
    <row r="197" spans="1:44" ht="19.5" customHeight="1">
      <c r="A197" s="29">
        <v>101</v>
      </c>
      <c r="B197" s="30" t="s">
        <v>118</v>
      </c>
      <c r="C197" s="29" t="s">
        <v>18</v>
      </c>
      <c r="D197" s="30"/>
      <c r="E197" s="30" t="s">
        <v>41</v>
      </c>
      <c r="F197" s="30" t="s">
        <v>445</v>
      </c>
      <c r="G197" s="30" t="s">
        <v>142</v>
      </c>
      <c r="H197" s="25">
        <v>21</v>
      </c>
      <c r="I197" s="1">
        <v>9</v>
      </c>
      <c r="J197" s="44">
        <v>9</v>
      </c>
      <c r="K197" s="27">
        <f t="shared" si="6"/>
        <v>0</v>
      </c>
      <c r="L197" s="27"/>
      <c r="M197" s="27"/>
      <c r="N197" s="1">
        <v>23</v>
      </c>
      <c r="O197" s="27">
        <f t="shared" si="7"/>
        <v>33365.57</v>
      </c>
      <c r="P197" s="27">
        <f>2707.13+2929.33+825.14+2229.94+21058.63+3615.4</f>
        <v>33365.57</v>
      </c>
      <c r="Q197" s="27"/>
      <c r="R197" s="20"/>
    </row>
    <row r="198" spans="1:44" s="7" customFormat="1" ht="30.6" customHeight="1">
      <c r="A198" s="24"/>
      <c r="B198" s="23" t="s">
        <v>118</v>
      </c>
      <c r="C198" s="24" t="s">
        <v>18</v>
      </c>
      <c r="D198" s="23"/>
      <c r="E198" s="23" t="s">
        <v>41</v>
      </c>
      <c r="F198" s="23" t="s">
        <v>298</v>
      </c>
      <c r="G198" s="23" t="s">
        <v>124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>
        <v>1</v>
      </c>
      <c r="O198" s="27">
        <f>P198+Q198</f>
        <v>5462.2</v>
      </c>
      <c r="P198" s="27">
        <v>5462.2</v>
      </c>
      <c r="Q198" s="27"/>
      <c r="R198" s="20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44" s="14" customFormat="1" ht="27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123</v>
      </c>
      <c r="G199" s="23" t="s">
        <v>136</v>
      </c>
      <c r="H199" s="25">
        <v>0</v>
      </c>
      <c r="I199" s="2"/>
      <c r="J199" s="26"/>
      <c r="K199" s="27">
        <f t="shared" si="6"/>
        <v>0</v>
      </c>
      <c r="L199" s="27"/>
      <c r="M199" s="27"/>
      <c r="N199" s="2"/>
      <c r="O199" s="27">
        <f>P199+Q199</f>
        <v>0</v>
      </c>
      <c r="P199" s="27"/>
      <c r="Q199" s="27"/>
      <c r="R199" s="20"/>
      <c r="AM199" s="4"/>
      <c r="AN199" s="4"/>
      <c r="AO199" s="4"/>
      <c r="AP199" s="4"/>
      <c r="AQ199" s="4"/>
      <c r="AR199" s="4"/>
    </row>
    <row r="200" spans="1:44" s="14" customFormat="1" ht="27" customHeight="1">
      <c r="A200" s="46">
        <v>102</v>
      </c>
      <c r="B200" s="60" t="s">
        <v>325</v>
      </c>
      <c r="C200" s="46" t="s">
        <v>18</v>
      </c>
      <c r="D200" s="60"/>
      <c r="E200" s="60" t="s">
        <v>36</v>
      </c>
      <c r="F200" s="60" t="s">
        <v>446</v>
      </c>
      <c r="G200" s="60" t="s">
        <v>142</v>
      </c>
      <c r="H200" s="61">
        <v>10</v>
      </c>
      <c r="I200" s="32">
        <v>3</v>
      </c>
      <c r="J200" s="86">
        <v>3</v>
      </c>
      <c r="K200" s="27">
        <f t="shared" si="6"/>
        <v>0</v>
      </c>
      <c r="L200" s="63"/>
      <c r="M200" s="63"/>
      <c r="N200" s="32"/>
      <c r="O200" s="63">
        <v>0</v>
      </c>
      <c r="P200" s="63"/>
      <c r="Q200" s="63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/>
      <c r="B201" s="23" t="s">
        <v>325</v>
      </c>
      <c r="C201" s="24" t="s">
        <v>18</v>
      </c>
      <c r="D201" s="23"/>
      <c r="E201" s="23" t="s">
        <v>36</v>
      </c>
      <c r="F201" s="23" t="s">
        <v>369</v>
      </c>
      <c r="G201" s="23" t="s">
        <v>124</v>
      </c>
      <c r="H201" s="25">
        <v>3</v>
      </c>
      <c r="I201" s="2"/>
      <c r="J201" s="26"/>
      <c r="K201" s="27">
        <f t="shared" si="6"/>
        <v>0</v>
      </c>
      <c r="L201" s="27"/>
      <c r="M201" s="27"/>
      <c r="N201" s="2"/>
      <c r="O201" s="27">
        <v>0</v>
      </c>
      <c r="P201" s="27"/>
      <c r="Q201" s="27"/>
      <c r="R201" s="20"/>
      <c r="AM201" s="4"/>
      <c r="AN201" s="4"/>
      <c r="AO201" s="4"/>
      <c r="AP201" s="4"/>
      <c r="AQ201" s="4"/>
      <c r="AR201" s="4"/>
    </row>
    <row r="202" spans="1:44" s="14" customFormat="1" ht="18.75" customHeight="1" thickBot="1">
      <c r="A202" s="47"/>
      <c r="B202" s="48" t="s">
        <v>325</v>
      </c>
      <c r="C202" s="49" t="s">
        <v>18</v>
      </c>
      <c r="D202" s="48"/>
      <c r="E202" s="48" t="s">
        <v>370</v>
      </c>
      <c r="F202" s="48" t="s">
        <v>371</v>
      </c>
      <c r="G202" s="48" t="s">
        <v>136</v>
      </c>
      <c r="H202" s="50">
        <v>3</v>
      </c>
      <c r="I202" s="33"/>
      <c r="J202" s="51"/>
      <c r="K202" s="34">
        <f t="shared" si="6"/>
        <v>0</v>
      </c>
      <c r="L202" s="52"/>
      <c r="M202" s="52"/>
      <c r="N202" s="33"/>
      <c r="O202" s="52">
        <f>P202+Q202</f>
        <v>0</v>
      </c>
      <c r="P202" s="52"/>
      <c r="Q202" s="52"/>
      <c r="R202" s="20"/>
      <c r="AM202" s="4"/>
      <c r="AN202" s="4"/>
      <c r="AO202" s="4"/>
      <c r="AP202" s="4"/>
      <c r="AQ202" s="4"/>
      <c r="AR202" s="4"/>
    </row>
    <row r="203" spans="1:44" s="14" customFormat="1" ht="16.5" customHeight="1">
      <c r="A203" s="87" t="s">
        <v>145</v>
      </c>
      <c r="B203" s="87"/>
      <c r="C203" s="88"/>
      <c r="D203" s="89"/>
      <c r="E203" s="89"/>
      <c r="F203" s="89"/>
      <c r="G203" s="89"/>
      <c r="H203" s="88">
        <f>SUM(H10:H202)</f>
        <v>2104</v>
      </c>
      <c r="I203" s="88">
        <f>SUM(I10:I202)</f>
        <v>850</v>
      </c>
      <c r="J203" s="88">
        <f>SUM(J10:J202)</f>
        <v>904</v>
      </c>
      <c r="K203" s="90">
        <f>SUM(K10:K202)</f>
        <v>238020.1</v>
      </c>
      <c r="L203" s="90">
        <f t="shared" ref="L203:Q203" si="8">SUM(L10:L202)</f>
        <v>238020.1</v>
      </c>
      <c r="M203" s="88">
        <f t="shared" si="8"/>
        <v>0</v>
      </c>
      <c r="N203" s="88">
        <f t="shared" si="8"/>
        <v>934</v>
      </c>
      <c r="O203" s="90">
        <f>SUM(O10:O202)</f>
        <v>1529382.69</v>
      </c>
      <c r="P203" s="90">
        <f>SUM(P10:P202)</f>
        <v>1529382.69</v>
      </c>
      <c r="Q203" s="88">
        <f t="shared" si="8"/>
        <v>0</v>
      </c>
      <c r="R203" s="20"/>
      <c r="AM203" s="4"/>
      <c r="AN203" s="4"/>
      <c r="AO203" s="4"/>
      <c r="AP203" s="4"/>
      <c r="AQ203" s="4"/>
      <c r="AR203" s="4"/>
    </row>
    <row r="204" spans="1:44" s="14" customFormat="1" ht="15" customHeight="1">
      <c r="A204" s="5"/>
      <c r="B204" s="6"/>
      <c r="C204" s="5"/>
      <c r="D204" s="6"/>
      <c r="E204" s="6"/>
      <c r="F204" s="6"/>
      <c r="G204" s="6"/>
      <c r="H204" s="9"/>
      <c r="I204" s="9"/>
      <c r="J204" s="9"/>
      <c r="K204" s="9"/>
      <c r="L204" s="9"/>
      <c r="M204" s="11"/>
      <c r="N204" s="9"/>
      <c r="O204" s="9"/>
      <c r="P204" s="5"/>
      <c r="Q204" s="13"/>
      <c r="R204" s="20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12"/>
      <c r="N205" s="4"/>
      <c r="O205" s="4"/>
      <c r="P205" s="4"/>
      <c r="Q205" s="12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9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2"/>
      <c r="N207" s="15"/>
      <c r="O207" s="15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5"/>
      <c r="N208" s="15"/>
      <c r="O208" s="15"/>
      <c r="P208" s="15"/>
      <c r="Q208" s="19"/>
      <c r="S208" s="20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5"/>
      <c r="N209" s="15"/>
      <c r="O209" s="15"/>
      <c r="P209" s="15"/>
      <c r="Q209" s="19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5"/>
      <c r="N210" s="15"/>
      <c r="O210" s="15"/>
      <c r="P210" s="15"/>
      <c r="Q210" s="19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15"/>
      <c r="Q211" s="19"/>
      <c r="AM211" s="4"/>
      <c r="AN211" s="4"/>
      <c r="AO211" s="4"/>
      <c r="AP211" s="4"/>
      <c r="AQ211" s="4"/>
      <c r="AR211" s="4"/>
    </row>
    <row r="212" spans="1:44">
      <c r="K212" s="15"/>
      <c r="L212" s="15"/>
      <c r="M212" s="15"/>
      <c r="N212" s="15"/>
      <c r="O212" s="15"/>
      <c r="P212" s="15"/>
      <c r="Q212" s="19"/>
      <c r="S212" s="20"/>
    </row>
    <row r="214" spans="1:44">
      <c r="K214" s="15"/>
      <c r="O214" s="15"/>
      <c r="P214" s="15"/>
    </row>
    <row r="217" spans="1:44">
      <c r="O217" s="15"/>
    </row>
    <row r="218" spans="1:44" s="12" customForma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15"/>
      <c r="N218" s="4"/>
      <c r="O218" s="4"/>
      <c r="P218" s="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4"/>
      <c r="AN218" s="4"/>
      <c r="AO218" s="4"/>
      <c r="AP218" s="4"/>
      <c r="AQ218" s="4"/>
      <c r="AR218" s="4"/>
    </row>
  </sheetData>
  <mergeCells count="8">
    <mergeCell ref="A203:B203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R219"/>
  <sheetViews>
    <sheetView topLeftCell="A192" zoomScaleNormal="100" workbookViewId="0">
      <selection activeCell="H204" sqref="A7:Q204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2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19</v>
      </c>
      <c r="I11" s="1">
        <v>9</v>
      </c>
      <c r="J11" s="26">
        <v>9</v>
      </c>
      <c r="K11" s="27">
        <f t="shared" ref="K11:K85" si="2">L11+M11</f>
        <v>0</v>
      </c>
      <c r="L11" s="27"/>
      <c r="M11" s="27"/>
      <c r="N11" s="1">
        <v>16</v>
      </c>
      <c r="O11" s="27">
        <f t="shared" si="1"/>
        <v>21144</v>
      </c>
      <c r="P11" s="27">
        <v>21144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24</v>
      </c>
      <c r="I12" s="1">
        <v>5</v>
      </c>
      <c r="J12" s="26">
        <v>6</v>
      </c>
      <c r="K12" s="27">
        <f t="shared" si="2"/>
        <v>0</v>
      </c>
      <c r="L12" s="27"/>
      <c r="M12" s="27"/>
      <c r="N12" s="1">
        <v>10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23</v>
      </c>
      <c r="I14" s="1">
        <v>8</v>
      </c>
      <c r="J14" s="26">
        <v>13</v>
      </c>
      <c r="K14" s="27">
        <f t="shared" si="2"/>
        <v>0</v>
      </c>
      <c r="L14" s="27"/>
      <c r="M14" s="27"/>
      <c r="N14" s="1">
        <v>15</v>
      </c>
      <c r="O14" s="27">
        <f t="shared" si="1"/>
        <v>18700.02</v>
      </c>
      <c r="P14" s="27">
        <f>6380.54+898.62+5963.63+5457.23</f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16</v>
      </c>
      <c r="J15" s="26">
        <v>16</v>
      </c>
      <c r="K15" s="27">
        <f t="shared" si="2"/>
        <v>0</v>
      </c>
      <c r="L15" s="27"/>
      <c r="M15" s="27"/>
      <c r="N15" s="2">
        <v>11</v>
      </c>
      <c r="O15" s="27">
        <f t="shared" si="1"/>
        <v>12739.4</v>
      </c>
      <c r="P15" s="27">
        <v>12739.4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42</v>
      </c>
      <c r="I16" s="1">
        <v>36</v>
      </c>
      <c r="J16" s="26">
        <v>42</v>
      </c>
      <c r="K16" s="27">
        <f t="shared" si="2"/>
        <v>13586.04</v>
      </c>
      <c r="L16" s="27">
        <f>4556.63+4600.8+4428.61</f>
        <v>13586.04</v>
      </c>
      <c r="M16" s="27"/>
      <c r="N16" s="1">
        <v>22</v>
      </c>
      <c r="O16" s="27">
        <f t="shared" si="1"/>
        <v>47356.040000000008</v>
      </c>
      <c r="P16" s="27">
        <f>9373.48+1765.32+2881.47+14555.74+1792.06+3628.8+10310.59+3048.58</f>
        <v>47356.040000000008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23296.77</v>
      </c>
      <c r="P19" s="27">
        <f>1367.31+18766.53+3162.93</f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35</v>
      </c>
      <c r="I20" s="1">
        <v>24</v>
      </c>
      <c r="J20" s="26">
        <v>25</v>
      </c>
      <c r="K20" s="27">
        <f t="shared" si="2"/>
        <v>7945.39</v>
      </c>
      <c r="L20" s="27">
        <f>7945.39</f>
        <v>7945.39</v>
      </c>
      <c r="M20" s="27"/>
      <c r="N20" s="1">
        <v>23</v>
      </c>
      <c r="O20" s="27">
        <f t="shared" si="1"/>
        <v>58770.28</v>
      </c>
      <c r="P20" s="27">
        <f>4072.37+2831.63+9295.25+1395.5+16947.28+5032.27+19195.98</f>
        <v>58770.28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1850.1</v>
      </c>
      <c r="P21" s="27">
        <v>1850.1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8</v>
      </c>
      <c r="I22" s="2">
        <v>1</v>
      </c>
      <c r="J22" s="26">
        <v>1</v>
      </c>
      <c r="K22" s="27">
        <f t="shared" si="2"/>
        <v>1288.7</v>
      </c>
      <c r="L22" s="27">
        <v>1288.7</v>
      </c>
      <c r="M22" s="27"/>
      <c r="N22" s="2">
        <v>12</v>
      </c>
      <c r="O22" s="27">
        <f t="shared" si="1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6214.5599999999995</v>
      </c>
      <c r="P23" s="27">
        <f>488.18+2791.37+2935.01</f>
        <v>6214.5599999999995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2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386</v>
      </c>
      <c r="G26" s="30" t="s">
        <v>142</v>
      </c>
      <c r="H26" s="25">
        <v>10</v>
      </c>
      <c r="I26" s="1">
        <v>7</v>
      </c>
      <c r="J26" s="44">
        <v>7</v>
      </c>
      <c r="K26" s="27">
        <f t="shared" si="2"/>
        <v>4086.08</v>
      </c>
      <c r="L26" s="27">
        <f>4086.08</f>
        <v>4086.08</v>
      </c>
      <c r="M26" s="27"/>
      <c r="N26" s="1">
        <v>3</v>
      </c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387</v>
      </c>
      <c r="G27" s="23" t="s">
        <v>142</v>
      </c>
      <c r="H27" s="25">
        <v>12</v>
      </c>
      <c r="I27" s="1">
        <v>8</v>
      </c>
      <c r="J27" s="44">
        <v>11</v>
      </c>
      <c r="K27" s="27">
        <f t="shared" si="2"/>
        <v>0</v>
      </c>
      <c r="L27" s="27"/>
      <c r="M27" s="27"/>
      <c r="N27" s="1">
        <v>4</v>
      </c>
      <c r="O27" s="27">
        <f t="shared" si="1"/>
        <v>12527.2</v>
      </c>
      <c r="P27" s="27">
        <f>3364.54+9162.66</f>
        <v>12527.2</v>
      </c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>
        <v>2</v>
      </c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388</v>
      </c>
      <c r="G29" s="23" t="s">
        <v>142</v>
      </c>
      <c r="H29" s="25">
        <v>20</v>
      </c>
      <c r="I29" s="1">
        <v>15</v>
      </c>
      <c r="J29" s="26">
        <v>16</v>
      </c>
      <c r="K29" s="27">
        <f t="shared" si="2"/>
        <v>1837.77</v>
      </c>
      <c r="L29" s="27">
        <v>1837.77</v>
      </c>
      <c r="M29" s="27"/>
      <c r="N29" s="1">
        <v>14</v>
      </c>
      <c r="O29" s="27">
        <f t="shared" si="1"/>
        <v>16013.28</v>
      </c>
      <c r="P29" s="27">
        <f>1585.49+7579.12+718.9+1852.33+814.04+1529.24+1934.16</f>
        <v>16013.28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7</v>
      </c>
      <c r="I31" s="2">
        <v>4</v>
      </c>
      <c r="J31" s="26">
        <v>4</v>
      </c>
      <c r="K31" s="27">
        <f t="shared" si="2"/>
        <v>0</v>
      </c>
      <c r="L31" s="27"/>
      <c r="M31" s="27"/>
      <c r="N31" s="2">
        <v>5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389</v>
      </c>
      <c r="G32" s="77" t="s">
        <v>142</v>
      </c>
      <c r="H32" s="25">
        <v>18</v>
      </c>
      <c r="I32" s="1">
        <v>12</v>
      </c>
      <c r="J32" s="26">
        <v>19</v>
      </c>
      <c r="K32" s="27">
        <f t="shared" si="2"/>
        <v>6122.51</v>
      </c>
      <c r="L32" s="27">
        <f>1850.1+4272.41</f>
        <v>6122.51</v>
      </c>
      <c r="M32" s="27"/>
      <c r="N32" s="1">
        <v>14</v>
      </c>
      <c r="O32" s="27">
        <f t="shared" si="1"/>
        <v>38408.44</v>
      </c>
      <c r="P32" s="27">
        <f>8353.67+11335.86+6709.68+4084.83+7924.4</f>
        <v>38408.44</v>
      </c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5</v>
      </c>
      <c r="I33" s="2">
        <v>2</v>
      </c>
      <c r="J33" s="26">
        <v>2</v>
      </c>
      <c r="K33" s="27">
        <f t="shared" si="2"/>
        <v>1380.75</v>
      </c>
      <c r="L33" s="27">
        <v>1380.75</v>
      </c>
      <c r="M33" s="27"/>
      <c r="N33" s="2">
        <v>4</v>
      </c>
      <c r="O33" s="27">
        <f t="shared" si="1"/>
        <v>2995.4</v>
      </c>
      <c r="P33" s="27">
        <v>2995.4</v>
      </c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4</v>
      </c>
      <c r="O34" s="27">
        <f t="shared" si="1"/>
        <v>10226.050000000001</v>
      </c>
      <c r="P34" s="27">
        <f>3494.69+1178.8+4726.71+825.85</f>
        <v>10226.050000000001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450</v>
      </c>
      <c r="G35" s="23" t="s">
        <v>122</v>
      </c>
      <c r="H35" s="25">
        <v>13</v>
      </c>
      <c r="I35" s="1">
        <v>1</v>
      </c>
      <c r="J35" s="26">
        <v>1</v>
      </c>
      <c r="K35" s="27">
        <f t="shared" si="2"/>
        <v>0</v>
      </c>
      <c r="L35" s="27"/>
      <c r="M35" s="27"/>
      <c r="N35" s="1">
        <v>7</v>
      </c>
      <c r="O35" s="27">
        <f t="shared" si="1"/>
        <v>1233.4000000000001</v>
      </c>
      <c r="P35" s="27">
        <v>1233.4000000000001</v>
      </c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390</v>
      </c>
      <c r="G36" s="23" t="s">
        <v>142</v>
      </c>
      <c r="H36" s="25">
        <v>14</v>
      </c>
      <c r="I36" s="1">
        <v>5</v>
      </c>
      <c r="J36" s="26">
        <v>5</v>
      </c>
      <c r="K36" s="27">
        <f t="shared" si="2"/>
        <v>0</v>
      </c>
      <c r="L36" s="27"/>
      <c r="M36" s="27"/>
      <c r="N36" s="1">
        <v>9</v>
      </c>
      <c r="O36" s="27">
        <f t="shared" si="1"/>
        <v>11156.02</v>
      </c>
      <c r="P36" s="27">
        <f>7284.47+3871.55</f>
        <v>11156.02</v>
      </c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16</v>
      </c>
      <c r="I37" s="2">
        <v>1</v>
      </c>
      <c r="J37" s="26">
        <v>1</v>
      </c>
      <c r="K37" s="27">
        <f t="shared" si="2"/>
        <v>0</v>
      </c>
      <c r="L37" s="27"/>
      <c r="M37" s="27"/>
      <c r="N37" s="2">
        <v>6</v>
      </c>
      <c r="O37" s="27">
        <f t="shared" si="1"/>
        <v>7136.1</v>
      </c>
      <c r="P37" s="27">
        <v>7136.1</v>
      </c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391</v>
      </c>
      <c r="G38" s="77" t="s">
        <v>142</v>
      </c>
      <c r="H38" s="25">
        <v>17</v>
      </c>
      <c r="I38" s="1">
        <v>10</v>
      </c>
      <c r="J38" s="26">
        <v>12</v>
      </c>
      <c r="K38" s="27">
        <f t="shared" si="2"/>
        <v>5154.01</v>
      </c>
      <c r="L38" s="27">
        <v>5154.01</v>
      </c>
      <c r="M38" s="27"/>
      <c r="N38" s="1">
        <v>10</v>
      </c>
      <c r="O38" s="27">
        <f t="shared" si="1"/>
        <v>24143.260000000002</v>
      </c>
      <c r="P38" s="27">
        <f>984.25+2870.5+11957.46+2947.8+1347.93+1162.92+1434.2+1438.2</f>
        <v>24143.260000000002</v>
      </c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16</v>
      </c>
      <c r="I39" s="2">
        <v>3</v>
      </c>
      <c r="J39" s="26">
        <v>3</v>
      </c>
      <c r="K39" s="27">
        <f t="shared" si="2"/>
        <v>0</v>
      </c>
      <c r="L39" s="27"/>
      <c r="M39" s="27"/>
      <c r="N39" s="2">
        <v>9</v>
      </c>
      <c r="O39" s="27">
        <f t="shared" si="1"/>
        <v>2466.8000000000002</v>
      </c>
      <c r="P39" s="27">
        <v>2466.8000000000002</v>
      </c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457</v>
      </c>
      <c r="G40" s="23" t="s">
        <v>142</v>
      </c>
      <c r="H40" s="25">
        <v>10</v>
      </c>
      <c r="I40" s="1">
        <v>3</v>
      </c>
      <c r="J40" s="26">
        <v>3</v>
      </c>
      <c r="K40" s="27">
        <f t="shared" si="2"/>
        <v>1131.2</v>
      </c>
      <c r="L40" s="27">
        <v>1131.2</v>
      </c>
      <c r="M40" s="27"/>
      <c r="N40" s="1">
        <v>6</v>
      </c>
      <c r="O40" s="27">
        <f t="shared" si="1"/>
        <v>4817.32</v>
      </c>
      <c r="P40" s="27">
        <f>1233.4+2752.72+831.2</f>
        <v>4817.32</v>
      </c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448</v>
      </c>
      <c r="G41" s="23" t="s">
        <v>122</v>
      </c>
      <c r="H41" s="25">
        <v>12</v>
      </c>
      <c r="I41" s="1"/>
      <c r="J41" s="26"/>
      <c r="K41" s="27">
        <f t="shared" si="2"/>
        <v>0</v>
      </c>
      <c r="L41" s="27"/>
      <c r="M41" s="27"/>
      <c r="N41" s="1">
        <v>4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392</v>
      </c>
      <c r="G42" s="23" t="s">
        <v>142</v>
      </c>
      <c r="H42" s="25">
        <v>24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7158.4</v>
      </c>
      <c r="P42" s="27">
        <f>877.89+141.04+827.61+5311.86</f>
        <v>7158.4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3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5</v>
      </c>
      <c r="O44" s="27">
        <f t="shared" si="1"/>
        <v>22868.19</v>
      </c>
      <c r="P44" s="27">
        <f>958.09+21910.1</f>
        <v>22868.19</v>
      </c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9</v>
      </c>
      <c r="I45" s="1"/>
      <c r="J45" s="26"/>
      <c r="K45" s="27">
        <f t="shared" si="2"/>
        <v>0</v>
      </c>
      <c r="L45" s="27"/>
      <c r="M45" s="27"/>
      <c r="N45" s="1">
        <v>5</v>
      </c>
      <c r="O45" s="27">
        <f t="shared" si="1"/>
        <v>881</v>
      </c>
      <c r="P45" s="27">
        <v>881</v>
      </c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8</v>
      </c>
      <c r="O46" s="27">
        <f t="shared" si="1"/>
        <v>5145.1900000000005</v>
      </c>
      <c r="P46" s="27">
        <f>1255.23+3889.96</f>
        <v>5145.1900000000005</v>
      </c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9</v>
      </c>
      <c r="I47" s="1">
        <v>2</v>
      </c>
      <c r="J47" s="26">
        <v>2</v>
      </c>
      <c r="K47" s="27">
        <f t="shared" si="2"/>
        <v>0</v>
      </c>
      <c r="L47" s="27"/>
      <c r="M47" s="27"/>
      <c r="N47" s="1">
        <v>9</v>
      </c>
      <c r="O47" s="27">
        <f t="shared" si="1"/>
        <v>3105.53</v>
      </c>
      <c r="P47" s="27">
        <v>3105.53</v>
      </c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393</v>
      </c>
      <c r="G48" s="23" t="s">
        <v>142</v>
      </c>
      <c r="H48" s="25">
        <v>16</v>
      </c>
      <c r="I48" s="1">
        <v>14</v>
      </c>
      <c r="J48" s="26">
        <v>16</v>
      </c>
      <c r="K48" s="27">
        <f t="shared" si="2"/>
        <v>8384.2800000000007</v>
      </c>
      <c r="L48" s="27">
        <v>8384.2800000000007</v>
      </c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7</v>
      </c>
      <c r="I49" s="1">
        <v>2</v>
      </c>
      <c r="J49" s="26">
        <v>2</v>
      </c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394</v>
      </c>
      <c r="G50" s="23" t="s">
        <v>142</v>
      </c>
      <c r="H50" s="25">
        <v>15</v>
      </c>
      <c r="I50" s="1">
        <v>13</v>
      </c>
      <c r="J50" s="26">
        <v>15</v>
      </c>
      <c r="K50" s="27">
        <f t="shared" si="2"/>
        <v>6913.6</v>
      </c>
      <c r="L50" s="27">
        <v>6913.6</v>
      </c>
      <c r="M50" s="27"/>
      <c r="N50" s="1">
        <v>8</v>
      </c>
      <c r="O50" s="27">
        <f t="shared" si="1"/>
        <v>21680.73</v>
      </c>
      <c r="P50" s="27">
        <f>6837.93+3382.02+3633.83+6541.43+1285.52</f>
        <v>21680.73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9</v>
      </c>
      <c r="I52" s="1">
        <v>3</v>
      </c>
      <c r="J52" s="26">
        <v>3</v>
      </c>
      <c r="K52" s="27">
        <f t="shared" si="2"/>
        <v>0</v>
      </c>
      <c r="L52" s="27"/>
      <c r="M52" s="27"/>
      <c r="N52" s="1">
        <v>10</v>
      </c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395</v>
      </c>
      <c r="G53" s="23" t="s">
        <v>142</v>
      </c>
      <c r="H53" s="25">
        <v>17</v>
      </c>
      <c r="I53" s="1">
        <v>10</v>
      </c>
      <c r="J53" s="26">
        <v>10</v>
      </c>
      <c r="K53" s="27">
        <f t="shared" si="2"/>
        <v>0</v>
      </c>
      <c r="L53" s="27"/>
      <c r="M53" s="27"/>
      <c r="N53" s="1">
        <v>6</v>
      </c>
      <c r="O53" s="27">
        <f t="shared" si="1"/>
        <v>35131.58</v>
      </c>
      <c r="P53" s="27">
        <f>10258.95+12559.55+4924.15+7388.93</f>
        <v>35131.58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477</v>
      </c>
      <c r="G54" s="23" t="s">
        <v>136</v>
      </c>
      <c r="H54" s="25">
        <v>11</v>
      </c>
      <c r="I54" s="2">
        <v>1</v>
      </c>
      <c r="J54" s="26">
        <v>1</v>
      </c>
      <c r="K54" s="27">
        <f t="shared" si="2"/>
        <v>0</v>
      </c>
      <c r="L54" s="27"/>
      <c r="M54" s="27"/>
      <c r="N54" s="2">
        <v>2</v>
      </c>
      <c r="O54" s="27">
        <f t="shared" si="1"/>
        <v>2819.2</v>
      </c>
      <c r="P54" s="27">
        <v>2819.2</v>
      </c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370</v>
      </c>
      <c r="F55" s="23" t="s">
        <v>321</v>
      </c>
      <c r="G55" s="23" t="s">
        <v>124</v>
      </c>
      <c r="H55" s="25">
        <v>2</v>
      </c>
      <c r="I55" s="2"/>
      <c r="J55" s="26"/>
      <c r="K55" s="27">
        <v>0</v>
      </c>
      <c r="L55" s="27"/>
      <c r="M55" s="27"/>
      <c r="N55" s="2"/>
      <c r="O55" s="27">
        <v>0</v>
      </c>
      <c r="P55" s="27"/>
      <c r="Q55" s="27"/>
      <c r="R55" s="20"/>
    </row>
    <row r="56" spans="1:38" ht="15" customHeight="1">
      <c r="A56" s="24"/>
      <c r="B56" s="23" t="s">
        <v>320</v>
      </c>
      <c r="C56" s="24" t="s">
        <v>18</v>
      </c>
      <c r="D56" s="23"/>
      <c r="E56" s="23" t="s">
        <v>36</v>
      </c>
      <c r="F56" s="23" t="s">
        <v>478</v>
      </c>
      <c r="G56" s="23" t="s">
        <v>136</v>
      </c>
      <c r="H56" s="25">
        <v>16</v>
      </c>
      <c r="I56" s="2">
        <v>1</v>
      </c>
      <c r="J56" s="26">
        <v>1</v>
      </c>
      <c r="K56" s="27">
        <f t="shared" si="2"/>
        <v>0</v>
      </c>
      <c r="L56" s="27"/>
      <c r="M56" s="27"/>
      <c r="N56" s="2"/>
      <c r="O56" s="27">
        <f t="shared" si="1"/>
        <v>0</v>
      </c>
      <c r="P56" s="27"/>
      <c r="Q56" s="27"/>
      <c r="R56" s="20"/>
    </row>
    <row r="57" spans="1:38" s="8" customFormat="1">
      <c r="A57" s="78">
        <v>25</v>
      </c>
      <c r="B57" s="79" t="s">
        <v>147</v>
      </c>
      <c r="C57" s="80" t="s">
        <v>18</v>
      </c>
      <c r="D57" s="79"/>
      <c r="E57" s="79" t="s">
        <v>50</v>
      </c>
      <c r="F57" s="79"/>
      <c r="G57" s="79" t="s">
        <v>142</v>
      </c>
      <c r="H57" s="81">
        <v>0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26</v>
      </c>
      <c r="B58" s="79" t="s">
        <v>379</v>
      </c>
      <c r="C58" s="80" t="s">
        <v>52</v>
      </c>
      <c r="D58" s="79" t="s">
        <v>378</v>
      </c>
      <c r="E58" s="79" t="s">
        <v>19</v>
      </c>
      <c r="F58" s="79" t="s">
        <v>396</v>
      </c>
      <c r="G58" s="79" t="s">
        <v>142</v>
      </c>
      <c r="H58" s="81">
        <v>15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332</v>
      </c>
      <c r="C59" s="80" t="s">
        <v>18</v>
      </c>
      <c r="D59" s="79"/>
      <c r="E59" s="79" t="s">
        <v>300</v>
      </c>
      <c r="F59" s="79" t="s">
        <v>397</v>
      </c>
      <c r="G59" s="79" t="s">
        <v>142</v>
      </c>
      <c r="H59" s="81">
        <v>38</v>
      </c>
      <c r="I59" s="26">
        <v>15</v>
      </c>
      <c r="J59" s="26">
        <v>15</v>
      </c>
      <c r="K59" s="27">
        <f t="shared" si="2"/>
        <v>12981.51</v>
      </c>
      <c r="L59" s="83">
        <v>12981.51</v>
      </c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7" customFormat="1" ht="24.75" customHeight="1">
      <c r="A60" s="29">
        <v>28</v>
      </c>
      <c r="B60" s="30" t="s">
        <v>51</v>
      </c>
      <c r="C60" s="29" t="s">
        <v>52</v>
      </c>
      <c r="D60" s="30" t="s">
        <v>53</v>
      </c>
      <c r="E60" s="30" t="s">
        <v>19</v>
      </c>
      <c r="F60" s="30" t="s">
        <v>398</v>
      </c>
      <c r="G60" s="30" t="s">
        <v>142</v>
      </c>
      <c r="H60" s="25">
        <v>32</v>
      </c>
      <c r="I60" s="1">
        <v>21</v>
      </c>
      <c r="J60" s="26">
        <v>21</v>
      </c>
      <c r="K60" s="27">
        <f t="shared" si="2"/>
        <v>16237.82</v>
      </c>
      <c r="L60" s="27">
        <f>14443.96+1793.86</f>
        <v>16237.82</v>
      </c>
      <c r="M60" s="27"/>
      <c r="N60" s="1">
        <v>16</v>
      </c>
      <c r="O60" s="27">
        <f t="shared" si="1"/>
        <v>28261.599999999999</v>
      </c>
      <c r="P60" s="27">
        <f>2817.33+2170.4+4145.27+17829.52+1299.08</f>
        <v>28261.599999999999</v>
      </c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ht="15" customHeight="1">
      <c r="A61" s="24">
        <v>29</v>
      </c>
      <c r="B61" s="23" t="s">
        <v>54</v>
      </c>
      <c r="C61" s="24" t="s">
        <v>18</v>
      </c>
      <c r="D61" s="23"/>
      <c r="E61" s="23" t="s">
        <v>19</v>
      </c>
      <c r="F61" s="23" t="s">
        <v>399</v>
      </c>
      <c r="G61" s="23" t="s">
        <v>142</v>
      </c>
      <c r="H61" s="25">
        <v>22</v>
      </c>
      <c r="I61" s="1">
        <v>14</v>
      </c>
      <c r="J61" s="26">
        <v>15</v>
      </c>
      <c r="K61" s="27">
        <f t="shared" si="2"/>
        <v>1602.98</v>
      </c>
      <c r="L61" s="27">
        <f>1602.98</f>
        <v>1602.98</v>
      </c>
      <c r="M61" s="27"/>
      <c r="N61" s="1">
        <v>11</v>
      </c>
      <c r="O61" s="27">
        <f t="shared" si="1"/>
        <v>37111.350000000006</v>
      </c>
      <c r="P61" s="27">
        <f>3558.78+6542.54+4585.89+4121.56+300+16804.42+1198.16</f>
        <v>37111.350000000006</v>
      </c>
      <c r="Q61" s="27"/>
      <c r="R61" s="20"/>
    </row>
    <row r="62" spans="1:38" ht="15" customHeight="1">
      <c r="A62" s="24"/>
      <c r="B62" s="23" t="s">
        <v>54</v>
      </c>
      <c r="C62" s="24" t="s">
        <v>18</v>
      </c>
      <c r="D62" s="23"/>
      <c r="E62" s="23" t="s">
        <v>19</v>
      </c>
      <c r="F62" s="23" t="s">
        <v>480</v>
      </c>
      <c r="G62" s="23" t="s">
        <v>122</v>
      </c>
      <c r="H62" s="25">
        <v>18</v>
      </c>
      <c r="I62" s="1">
        <v>3</v>
      </c>
      <c r="J62" s="26">
        <v>3</v>
      </c>
      <c r="K62" s="27">
        <f t="shared" si="2"/>
        <v>0</v>
      </c>
      <c r="L62" s="27"/>
      <c r="M62" s="27"/>
      <c r="N62" s="1">
        <v>10</v>
      </c>
      <c r="O62" s="27">
        <f t="shared" si="1"/>
        <v>2995.4</v>
      </c>
      <c r="P62" s="27">
        <v>2995.4</v>
      </c>
      <c r="Q62" s="27"/>
      <c r="R62" s="20"/>
    </row>
    <row r="63" spans="1:38" s="7" customFormat="1" ht="15" customHeight="1">
      <c r="A63" s="24">
        <v>30</v>
      </c>
      <c r="B63" s="23" t="s">
        <v>55</v>
      </c>
      <c r="C63" s="24" t="s">
        <v>18</v>
      </c>
      <c r="D63" s="23"/>
      <c r="E63" s="23" t="s">
        <v>19</v>
      </c>
      <c r="F63" s="23" t="s">
        <v>400</v>
      </c>
      <c r="G63" s="23" t="s">
        <v>142</v>
      </c>
      <c r="H63" s="25">
        <v>13</v>
      </c>
      <c r="I63" s="1">
        <v>12</v>
      </c>
      <c r="J63" s="26">
        <v>14</v>
      </c>
      <c r="K63" s="27">
        <f t="shared" si="2"/>
        <v>0</v>
      </c>
      <c r="L63" s="27"/>
      <c r="M63" s="27"/>
      <c r="N63" s="1">
        <v>21</v>
      </c>
      <c r="O63" s="27">
        <f t="shared" si="1"/>
        <v>26863.22</v>
      </c>
      <c r="P63" s="27">
        <f>3793.8+8092.08+9670.2+5307.14</f>
        <v>26863.22</v>
      </c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ht="15.6" customHeight="1">
      <c r="A64" s="24"/>
      <c r="B64" s="23" t="s">
        <v>55</v>
      </c>
      <c r="C64" s="24" t="s">
        <v>18</v>
      </c>
      <c r="D64" s="23"/>
      <c r="E64" s="23" t="s">
        <v>19</v>
      </c>
      <c r="F64" s="23" t="s">
        <v>352</v>
      </c>
      <c r="G64" s="23" t="s">
        <v>122</v>
      </c>
      <c r="H64" s="25">
        <v>13</v>
      </c>
      <c r="I64" s="1">
        <v>8</v>
      </c>
      <c r="J64" s="26">
        <v>8</v>
      </c>
      <c r="K64" s="27">
        <f t="shared" si="2"/>
        <v>0</v>
      </c>
      <c r="L64" s="27"/>
      <c r="M64" s="27"/>
      <c r="N64" s="1">
        <v>19</v>
      </c>
      <c r="O64" s="27">
        <f t="shared" si="1"/>
        <v>8299.02</v>
      </c>
      <c r="P64" s="27">
        <v>8299.02</v>
      </c>
      <c r="Q64" s="27"/>
      <c r="R64" s="20"/>
    </row>
    <row r="65" spans="1:38" s="7" customFormat="1" ht="15" customHeight="1">
      <c r="A65" s="24">
        <v>31</v>
      </c>
      <c r="B65" s="23" t="s">
        <v>56</v>
      </c>
      <c r="C65" s="24" t="s">
        <v>52</v>
      </c>
      <c r="D65" s="23" t="s">
        <v>57</v>
      </c>
      <c r="E65" s="23" t="s">
        <v>19</v>
      </c>
      <c r="F65" s="23" t="s">
        <v>401</v>
      </c>
      <c r="G65" s="23" t="s">
        <v>142</v>
      </c>
      <c r="H65" s="25">
        <v>18</v>
      </c>
      <c r="I65" s="1">
        <v>5</v>
      </c>
      <c r="J65" s="26">
        <v>5</v>
      </c>
      <c r="K65" s="27">
        <f t="shared" si="2"/>
        <v>0</v>
      </c>
      <c r="L65" s="27"/>
      <c r="M65" s="27"/>
      <c r="N65" s="1">
        <v>5</v>
      </c>
      <c r="O65" s="27">
        <f t="shared" si="1"/>
        <v>7690.6</v>
      </c>
      <c r="P65" s="27">
        <f>1487.48+1918.48+4284.64</f>
        <v>7690.6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>
        <v>32</v>
      </c>
      <c r="B66" s="23" t="s">
        <v>58</v>
      </c>
      <c r="C66" s="24" t="s">
        <v>18</v>
      </c>
      <c r="D66" s="23"/>
      <c r="E66" s="23" t="s">
        <v>19</v>
      </c>
      <c r="F66" s="23" t="s">
        <v>402</v>
      </c>
      <c r="G66" s="23" t="s">
        <v>142</v>
      </c>
      <c r="H66" s="25">
        <v>10</v>
      </c>
      <c r="I66" s="1">
        <v>9</v>
      </c>
      <c r="J66" s="26">
        <v>9</v>
      </c>
      <c r="K66" s="27">
        <f t="shared" si="2"/>
        <v>0</v>
      </c>
      <c r="L66" s="27"/>
      <c r="M66" s="27"/>
      <c r="N66" s="1">
        <v>9</v>
      </c>
      <c r="O66" s="27">
        <f t="shared" si="1"/>
        <v>17337.38</v>
      </c>
      <c r="P66" s="27">
        <f>1353.94+9352.06+1852.4+3552.19+1226.79</f>
        <v>17337.38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/>
      <c r="B67" s="23" t="s">
        <v>58</v>
      </c>
      <c r="C67" s="24" t="s">
        <v>18</v>
      </c>
      <c r="D67" s="23"/>
      <c r="E67" s="23" t="s">
        <v>19</v>
      </c>
      <c r="F67" s="23" t="s">
        <v>451</v>
      </c>
      <c r="G67" s="23" t="s">
        <v>122</v>
      </c>
      <c r="H67" s="25">
        <v>2</v>
      </c>
      <c r="I67" s="1"/>
      <c r="J67" s="26"/>
      <c r="K67" s="27">
        <f t="shared" si="2"/>
        <v>0</v>
      </c>
      <c r="L67" s="27"/>
      <c r="M67" s="27"/>
      <c r="N67" s="1">
        <v>4</v>
      </c>
      <c r="O67" s="27">
        <f t="shared" si="1"/>
        <v>2114.4</v>
      </c>
      <c r="P67" s="27">
        <v>2114.4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ht="15" customHeight="1">
      <c r="A68" s="24">
        <v>33</v>
      </c>
      <c r="B68" s="23" t="s">
        <v>59</v>
      </c>
      <c r="C68" s="24" t="s">
        <v>18</v>
      </c>
      <c r="D68" s="23"/>
      <c r="E68" s="23" t="s">
        <v>60</v>
      </c>
      <c r="F68" s="23" t="s">
        <v>403</v>
      </c>
      <c r="G68" s="23" t="s">
        <v>142</v>
      </c>
      <c r="H68" s="25">
        <v>12</v>
      </c>
      <c r="I68" s="1">
        <v>7</v>
      </c>
      <c r="J68" s="26">
        <v>8</v>
      </c>
      <c r="K68" s="27">
        <f t="shared" si="2"/>
        <v>0</v>
      </c>
      <c r="L68" s="27"/>
      <c r="M68" s="27"/>
      <c r="N68" s="1">
        <v>6</v>
      </c>
      <c r="O68" s="27">
        <f t="shared" si="1"/>
        <v>6874.29</v>
      </c>
      <c r="P68" s="27">
        <f>6698.09+176.2</f>
        <v>6874.29</v>
      </c>
      <c r="Q68" s="27"/>
      <c r="R68" s="20"/>
    </row>
    <row r="69" spans="1:38" ht="15" customHeight="1">
      <c r="A69" s="24"/>
      <c r="B69" s="23" t="s">
        <v>139</v>
      </c>
      <c r="C69" s="24" t="s">
        <v>18</v>
      </c>
      <c r="D69" s="23"/>
      <c r="E69" s="23" t="s">
        <v>60</v>
      </c>
      <c r="F69" s="23" t="s">
        <v>362</v>
      </c>
      <c r="G69" s="23" t="s">
        <v>136</v>
      </c>
      <c r="H69" s="25">
        <v>11</v>
      </c>
      <c r="I69" s="2">
        <v>4</v>
      </c>
      <c r="J69" s="26">
        <v>4</v>
      </c>
      <c r="K69" s="27">
        <f t="shared" si="2"/>
        <v>0</v>
      </c>
      <c r="L69" s="27"/>
      <c r="M69" s="27"/>
      <c r="N69" s="2">
        <v>5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34</v>
      </c>
      <c r="B70" s="23" t="s">
        <v>333</v>
      </c>
      <c r="C70" s="24" t="s">
        <v>18</v>
      </c>
      <c r="D70" s="23"/>
      <c r="E70" s="23" t="s">
        <v>104</v>
      </c>
      <c r="F70" s="23" t="s">
        <v>404</v>
      </c>
      <c r="G70" s="23" t="s">
        <v>142</v>
      </c>
      <c r="H70" s="25">
        <v>25</v>
      </c>
      <c r="I70" s="2">
        <v>18</v>
      </c>
      <c r="J70" s="26">
        <v>18</v>
      </c>
      <c r="K70" s="27">
        <f t="shared" si="2"/>
        <v>3127.55</v>
      </c>
      <c r="L70" s="27">
        <v>3127.55</v>
      </c>
      <c r="M70" s="27"/>
      <c r="N70" s="2"/>
      <c r="O70" s="27">
        <f t="shared" si="1"/>
        <v>0</v>
      </c>
      <c r="P70" s="27"/>
      <c r="Q70" s="27"/>
      <c r="R70" s="20"/>
    </row>
    <row r="71" spans="1:38" s="7" customFormat="1" ht="15" customHeight="1">
      <c r="A71" s="24">
        <v>35</v>
      </c>
      <c r="B71" s="23" t="s">
        <v>61</v>
      </c>
      <c r="C71" s="24" t="s">
        <v>18</v>
      </c>
      <c r="D71" s="23"/>
      <c r="E71" s="23" t="s">
        <v>41</v>
      </c>
      <c r="F71" s="23" t="s">
        <v>405</v>
      </c>
      <c r="G71" s="23" t="s">
        <v>142</v>
      </c>
      <c r="H71" s="25">
        <v>30</v>
      </c>
      <c r="I71" s="1">
        <v>17</v>
      </c>
      <c r="J71" s="26">
        <v>17</v>
      </c>
      <c r="K71" s="27">
        <f t="shared" si="2"/>
        <v>2199.6799999999998</v>
      </c>
      <c r="L71" s="27">
        <f>2199.68</f>
        <v>2199.6799999999998</v>
      </c>
      <c r="M71" s="27"/>
      <c r="N71" s="1">
        <v>17</v>
      </c>
      <c r="O71" s="27">
        <f t="shared" si="1"/>
        <v>87678.12</v>
      </c>
      <c r="P71" s="27">
        <f>8536.41+1900.55+1810.72+5409.65+1602.49+6411.71+6033.69+27487.21+5155.58+12470.56+10859.55</f>
        <v>87678.12</v>
      </c>
      <c r="Q71" s="27"/>
      <c r="R71" s="20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 spans="1:38" ht="15" customHeight="1">
      <c r="A72" s="24"/>
      <c r="B72" s="23" t="s">
        <v>61</v>
      </c>
      <c r="C72" s="24" t="s">
        <v>18</v>
      </c>
      <c r="D72" s="23"/>
      <c r="E72" s="23" t="s">
        <v>41</v>
      </c>
      <c r="F72" s="23" t="s">
        <v>292</v>
      </c>
      <c r="G72" s="23" t="s">
        <v>136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</row>
    <row r="73" spans="1:38" ht="15" customHeight="1">
      <c r="A73" s="24">
        <v>36</v>
      </c>
      <c r="B73" s="23" t="s">
        <v>62</v>
      </c>
      <c r="C73" s="24" t="s">
        <v>18</v>
      </c>
      <c r="D73" s="23"/>
      <c r="E73" s="23" t="s">
        <v>19</v>
      </c>
      <c r="F73" s="23" t="s">
        <v>406</v>
      </c>
      <c r="G73" s="23" t="s">
        <v>142</v>
      </c>
      <c r="H73" s="25">
        <v>29</v>
      </c>
      <c r="I73" s="1">
        <v>20</v>
      </c>
      <c r="J73" s="26">
        <v>20</v>
      </c>
      <c r="K73" s="27">
        <f t="shared" si="2"/>
        <v>3339.42</v>
      </c>
      <c r="L73" s="27">
        <f>607.08+2732.34</f>
        <v>3339.42</v>
      </c>
      <c r="M73" s="27"/>
      <c r="N73" s="1">
        <v>8</v>
      </c>
      <c r="O73" s="27">
        <f t="shared" si="1"/>
        <v>25380.270000000004</v>
      </c>
      <c r="P73" s="27">
        <f>4688.79+16818.4+3873.08</f>
        <v>25380.270000000004</v>
      </c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476</v>
      </c>
      <c r="G74" s="23" t="s">
        <v>124</v>
      </c>
      <c r="H74" s="25">
        <v>0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2146.4</v>
      </c>
      <c r="P74" s="27">
        <v>2146.4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452</v>
      </c>
      <c r="G75" s="23" t="s">
        <v>122</v>
      </c>
      <c r="H75" s="25">
        <v>4</v>
      </c>
      <c r="I75" s="1"/>
      <c r="J75" s="26"/>
      <c r="K75" s="27">
        <f t="shared" si="2"/>
        <v>0</v>
      </c>
      <c r="L75" s="27"/>
      <c r="M75" s="27"/>
      <c r="N75" s="1">
        <v>8</v>
      </c>
      <c r="O75" s="27">
        <f t="shared" si="1"/>
        <v>28363.64</v>
      </c>
      <c r="P75" s="27">
        <v>28363.64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472</v>
      </c>
      <c r="G76" s="23" t="s">
        <v>210</v>
      </c>
      <c r="H76" s="25">
        <v>11</v>
      </c>
      <c r="I76" s="1">
        <v>2</v>
      </c>
      <c r="J76" s="26">
        <v>2</v>
      </c>
      <c r="K76" s="27">
        <f t="shared" si="2"/>
        <v>0</v>
      </c>
      <c r="L76" s="27"/>
      <c r="M76" s="27"/>
      <c r="N76" s="1">
        <v>10</v>
      </c>
      <c r="O76" s="27">
        <f t="shared" si="1"/>
        <v>9489.91</v>
      </c>
      <c r="P76" s="27">
        <v>9489.91</v>
      </c>
      <c r="Q76" s="27"/>
      <c r="R76" s="20"/>
    </row>
    <row r="77" spans="1:38" ht="15" customHeight="1">
      <c r="A77" s="24">
        <v>37</v>
      </c>
      <c r="B77" s="23" t="s">
        <v>63</v>
      </c>
      <c r="C77" s="24" t="s">
        <v>18</v>
      </c>
      <c r="D77" s="23"/>
      <c r="E77" s="23" t="s">
        <v>41</v>
      </c>
      <c r="F77" s="23" t="s">
        <v>407</v>
      </c>
      <c r="G77" s="23" t="s">
        <v>142</v>
      </c>
      <c r="H77" s="25">
        <v>16</v>
      </c>
      <c r="I77" s="1">
        <v>8</v>
      </c>
      <c r="J77" s="26">
        <v>8</v>
      </c>
      <c r="K77" s="27">
        <f t="shared" si="2"/>
        <v>4400.6000000000004</v>
      </c>
      <c r="L77" s="27">
        <v>4400.6000000000004</v>
      </c>
      <c r="M77" s="27"/>
      <c r="N77" s="1">
        <v>17</v>
      </c>
      <c r="O77" s="27">
        <f t="shared" si="1"/>
        <v>46129.759999999995</v>
      </c>
      <c r="P77" s="27">
        <f>5457.7+9775.17+3631.18+27265.71</f>
        <v>46129.759999999995</v>
      </c>
      <c r="Q77" s="27"/>
      <c r="R77" s="20"/>
    </row>
    <row r="78" spans="1:38" ht="15" customHeight="1">
      <c r="A78" s="24"/>
      <c r="B78" s="23" t="s">
        <v>63</v>
      </c>
      <c r="C78" s="24" t="s">
        <v>18</v>
      </c>
      <c r="D78" s="23"/>
      <c r="E78" s="23" t="s">
        <v>41</v>
      </c>
      <c r="F78" s="23" t="s">
        <v>363</v>
      </c>
      <c r="G78" s="23" t="s">
        <v>136</v>
      </c>
      <c r="H78" s="25">
        <v>16</v>
      </c>
      <c r="I78" s="2"/>
      <c r="J78" s="26"/>
      <c r="K78" s="27">
        <f t="shared" si="2"/>
        <v>0</v>
      </c>
      <c r="L78" s="27"/>
      <c r="M78" s="27"/>
      <c r="N78" s="2">
        <v>13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64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0</v>
      </c>
      <c r="I79" s="2"/>
      <c r="J79" s="26"/>
      <c r="K79" s="27">
        <f t="shared" si="2"/>
        <v>0</v>
      </c>
      <c r="L79" s="27"/>
      <c r="M79" s="27"/>
      <c r="N79" s="2">
        <v>5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ht="15" customHeight="1">
      <c r="A80" s="24"/>
      <c r="B80" s="23" t="s">
        <v>64</v>
      </c>
      <c r="C80" s="24" t="s">
        <v>18</v>
      </c>
      <c r="D80" s="23"/>
      <c r="E80" s="23" t="s">
        <v>41</v>
      </c>
      <c r="F80" s="23" t="s">
        <v>351</v>
      </c>
      <c r="G80" s="23" t="s">
        <v>122</v>
      </c>
      <c r="H80" s="25">
        <v>9</v>
      </c>
      <c r="I80" s="1"/>
      <c r="J80" s="26"/>
      <c r="K80" s="27">
        <f t="shared" si="2"/>
        <v>0</v>
      </c>
      <c r="L80" s="27"/>
      <c r="M80" s="27"/>
      <c r="N80" s="1">
        <v>10</v>
      </c>
      <c r="O80" s="27">
        <f t="shared" si="1"/>
        <v>3876.4</v>
      </c>
      <c r="P80" s="27">
        <v>3876.4</v>
      </c>
      <c r="Q80" s="27"/>
      <c r="R80" s="20"/>
    </row>
    <row r="81" spans="1:38" ht="15" customHeight="1">
      <c r="A81" s="24">
        <v>39</v>
      </c>
      <c r="B81" s="23" t="s">
        <v>458</v>
      </c>
      <c r="C81" s="24" t="s">
        <v>18</v>
      </c>
      <c r="D81" s="23"/>
      <c r="E81" s="23" t="s">
        <v>104</v>
      </c>
      <c r="F81" s="23" t="s">
        <v>463</v>
      </c>
      <c r="G81" s="23" t="s">
        <v>142</v>
      </c>
      <c r="H81" s="25">
        <v>11</v>
      </c>
      <c r="I81" s="1"/>
      <c r="J81" s="26"/>
      <c r="K81" s="27">
        <f t="shared" si="2"/>
        <v>0</v>
      </c>
      <c r="L81" s="27"/>
      <c r="M81" s="27"/>
      <c r="N81" s="1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458</v>
      </c>
      <c r="C82" s="24" t="s">
        <v>18</v>
      </c>
      <c r="D82" s="23"/>
      <c r="E82" s="23" t="s">
        <v>104</v>
      </c>
      <c r="F82" s="23" t="s">
        <v>459</v>
      </c>
      <c r="G82" s="23" t="s">
        <v>122</v>
      </c>
      <c r="H82" s="25">
        <v>10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s="17" customFormat="1" ht="15" customHeight="1">
      <c r="A83" s="24">
        <v>40</v>
      </c>
      <c r="B83" s="23" t="s">
        <v>238</v>
      </c>
      <c r="C83" s="24" t="s">
        <v>18</v>
      </c>
      <c r="D83" s="23"/>
      <c r="E83" s="23" t="s">
        <v>41</v>
      </c>
      <c r="F83" s="23" t="s">
        <v>408</v>
      </c>
      <c r="G83" s="23" t="s">
        <v>142</v>
      </c>
      <c r="H83" s="25">
        <v>56</v>
      </c>
      <c r="I83" s="1">
        <v>28</v>
      </c>
      <c r="J83" s="26">
        <v>28</v>
      </c>
      <c r="K83" s="27">
        <f t="shared" si="2"/>
        <v>26106.489999999998</v>
      </c>
      <c r="L83" s="27">
        <f>5547.55+20558.94</f>
        <v>26106.489999999998</v>
      </c>
      <c r="M83" s="27"/>
      <c r="N83" s="1">
        <v>2</v>
      </c>
      <c r="O83" s="27">
        <f t="shared" si="1"/>
        <v>9777.93</v>
      </c>
      <c r="P83" s="27">
        <f>6215.87+3562.06</f>
        <v>9777.93</v>
      </c>
      <c r="Q83" s="27"/>
      <c r="R83" s="20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:38" s="7" customFormat="1" ht="15" customHeight="1">
      <c r="A84" s="24">
        <v>41</v>
      </c>
      <c r="B84" s="23" t="s">
        <v>65</v>
      </c>
      <c r="C84" s="24" t="s">
        <v>18</v>
      </c>
      <c r="D84" s="23"/>
      <c r="E84" s="23" t="s">
        <v>66</v>
      </c>
      <c r="F84" s="23" t="s">
        <v>409</v>
      </c>
      <c r="G84" s="23" t="s">
        <v>142</v>
      </c>
      <c r="H84" s="25">
        <v>12</v>
      </c>
      <c r="I84" s="1">
        <v>2</v>
      </c>
      <c r="J84" s="26">
        <v>4</v>
      </c>
      <c r="K84" s="27">
        <f t="shared" si="2"/>
        <v>0</v>
      </c>
      <c r="L84" s="27"/>
      <c r="M84" s="27"/>
      <c r="N84" s="1">
        <v>9</v>
      </c>
      <c r="O84" s="27">
        <f t="shared" si="1"/>
        <v>7945.96</v>
      </c>
      <c r="P84" s="27">
        <f>477.41+7468.55</f>
        <v>7945.96</v>
      </c>
      <c r="Q84" s="27"/>
      <c r="R84" s="20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 spans="1:38" ht="15" customHeight="1">
      <c r="A85" s="24"/>
      <c r="B85" s="23" t="s">
        <v>65</v>
      </c>
      <c r="C85" s="24" t="s">
        <v>18</v>
      </c>
      <c r="D85" s="23"/>
      <c r="E85" s="23" t="s">
        <v>66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2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s="7" customFormat="1" ht="15" customHeight="1">
      <c r="A86" s="24">
        <v>42</v>
      </c>
      <c r="B86" s="23" t="s">
        <v>67</v>
      </c>
      <c r="C86" s="24" t="s">
        <v>18</v>
      </c>
      <c r="D86" s="23"/>
      <c r="E86" s="23" t="s">
        <v>19</v>
      </c>
      <c r="F86" s="23" t="s">
        <v>410</v>
      </c>
      <c r="G86" s="23" t="s">
        <v>142</v>
      </c>
      <c r="H86" s="25">
        <v>35</v>
      </c>
      <c r="I86" s="1">
        <v>29</v>
      </c>
      <c r="J86" s="26">
        <v>30</v>
      </c>
      <c r="K86" s="27">
        <f t="shared" ref="K86:K154" si="3">L86+M86</f>
        <v>12507.07</v>
      </c>
      <c r="L86" s="27">
        <f>5061.86+7445.21</f>
        <v>12507.07</v>
      </c>
      <c r="M86" s="27"/>
      <c r="N86" s="1">
        <v>13</v>
      </c>
      <c r="O86" s="27">
        <f t="shared" si="1"/>
        <v>17059.530000000002</v>
      </c>
      <c r="P86" s="27">
        <f>1369.13+3431.04+7740.64+2536.47+920.62+1061.63</f>
        <v>17059.530000000002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67</v>
      </c>
      <c r="C87" s="24" t="s">
        <v>18</v>
      </c>
      <c r="D87" s="23"/>
      <c r="E87" s="23" t="s">
        <v>104</v>
      </c>
      <c r="F87" s="23" t="s">
        <v>123</v>
      </c>
      <c r="G87" s="23" t="s">
        <v>122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68</v>
      </c>
      <c r="C88" s="24" t="s">
        <v>18</v>
      </c>
      <c r="D88" s="24"/>
      <c r="E88" s="23" t="s">
        <v>50</v>
      </c>
      <c r="F88" s="23" t="s">
        <v>411</v>
      </c>
      <c r="G88" s="23" t="s">
        <v>142</v>
      </c>
      <c r="H88" s="25">
        <v>9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68</v>
      </c>
      <c r="C89" s="24" t="s">
        <v>18</v>
      </c>
      <c r="D89" s="23"/>
      <c r="E89" s="23" t="s">
        <v>50</v>
      </c>
      <c r="F89" s="23" t="s">
        <v>123</v>
      </c>
      <c r="G89" s="23" t="s">
        <v>136</v>
      </c>
      <c r="H89" s="25">
        <v>0</v>
      </c>
      <c r="I89" s="2"/>
      <c r="J89" s="26"/>
      <c r="K89" s="27">
        <f t="shared" si="3"/>
        <v>0</v>
      </c>
      <c r="L89" s="27"/>
      <c r="M89" s="27"/>
      <c r="N89" s="2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292</v>
      </c>
      <c r="G90" s="23" t="s">
        <v>124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>
        <v>44</v>
      </c>
      <c r="B91" s="23" t="s">
        <v>127</v>
      </c>
      <c r="C91" s="24" t="s">
        <v>18</v>
      </c>
      <c r="D91" s="23"/>
      <c r="E91" s="23" t="s">
        <v>41</v>
      </c>
      <c r="F91" s="23" t="s">
        <v>412</v>
      </c>
      <c r="G91" s="23" t="s">
        <v>142</v>
      </c>
      <c r="H91" s="25">
        <v>15</v>
      </c>
      <c r="I91" s="2">
        <v>9</v>
      </c>
      <c r="J91" s="26">
        <v>10</v>
      </c>
      <c r="K91" s="27">
        <f t="shared" si="3"/>
        <v>0</v>
      </c>
      <c r="L91" s="27"/>
      <c r="M91" s="27"/>
      <c r="N91" s="2">
        <v>7</v>
      </c>
      <c r="O91" s="27">
        <f t="shared" si="1"/>
        <v>4981.9400000000005</v>
      </c>
      <c r="P91" s="27">
        <f>3045.34+1936.6</f>
        <v>4981.9400000000005</v>
      </c>
      <c r="Q91" s="27"/>
      <c r="R91" s="20"/>
    </row>
    <row r="92" spans="1:38" ht="15" customHeight="1">
      <c r="A92" s="24"/>
      <c r="B92" s="23" t="s">
        <v>127</v>
      </c>
      <c r="C92" s="24" t="s">
        <v>18</v>
      </c>
      <c r="D92" s="23"/>
      <c r="E92" s="23" t="s">
        <v>50</v>
      </c>
      <c r="F92" s="23" t="s">
        <v>364</v>
      </c>
      <c r="G92" s="23" t="s">
        <v>136</v>
      </c>
      <c r="H92" s="25">
        <v>11</v>
      </c>
      <c r="I92" s="2">
        <v>5</v>
      </c>
      <c r="J92" s="26">
        <v>5</v>
      </c>
      <c r="K92" s="27">
        <f t="shared" si="3"/>
        <v>0</v>
      </c>
      <c r="L92" s="27"/>
      <c r="M92" s="27"/>
      <c r="N92" s="2">
        <v>18</v>
      </c>
      <c r="O92" s="27">
        <f t="shared" si="1"/>
        <v>2819.2</v>
      </c>
      <c r="P92" s="27">
        <v>2819.2</v>
      </c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375</v>
      </c>
      <c r="G93" s="23" t="s">
        <v>124</v>
      </c>
      <c r="H93" s="25">
        <v>1</v>
      </c>
      <c r="I93" s="2"/>
      <c r="J93" s="26"/>
      <c r="K93" s="27">
        <f t="shared" si="3"/>
        <v>0</v>
      </c>
      <c r="L93" s="27"/>
      <c r="M93" s="27"/>
      <c r="N93" s="2">
        <v>2</v>
      </c>
      <c r="O93" s="27">
        <f t="shared" ref="O93:O193" si="4">P93+Q93</f>
        <v>0</v>
      </c>
      <c r="P93" s="27"/>
      <c r="Q93" s="27"/>
      <c r="R93" s="20"/>
    </row>
    <row r="94" spans="1:38" s="7" customFormat="1" ht="15" customHeight="1">
      <c r="A94" s="74">
        <v>45</v>
      </c>
      <c r="B94" s="77" t="s">
        <v>69</v>
      </c>
      <c r="C94" s="74" t="s">
        <v>18</v>
      </c>
      <c r="D94" s="77"/>
      <c r="E94" s="77" t="s">
        <v>19</v>
      </c>
      <c r="F94" s="77" t="s">
        <v>292</v>
      </c>
      <c r="G94" s="77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.75" customHeight="1">
      <c r="A95" s="74">
        <v>46</v>
      </c>
      <c r="B95" s="77" t="s">
        <v>70</v>
      </c>
      <c r="C95" s="74" t="s">
        <v>18</v>
      </c>
      <c r="D95" s="77"/>
      <c r="E95" s="77" t="s">
        <v>19</v>
      </c>
      <c r="F95" s="77" t="s">
        <v>413</v>
      </c>
      <c r="G95" s="77" t="s">
        <v>142</v>
      </c>
      <c r="H95" s="25">
        <v>11</v>
      </c>
      <c r="I95" s="1">
        <v>8</v>
      </c>
      <c r="J95" s="26">
        <v>8</v>
      </c>
      <c r="K95" s="27">
        <f t="shared" si="3"/>
        <v>2262.4</v>
      </c>
      <c r="L95" s="27">
        <v>2262.4</v>
      </c>
      <c r="M95" s="27"/>
      <c r="N95" s="1">
        <v>6</v>
      </c>
      <c r="O95" s="27">
        <f t="shared" si="4"/>
        <v>9533.19</v>
      </c>
      <c r="P95" s="27">
        <f>3806.1+5727.09</f>
        <v>9533.19</v>
      </c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ht="15" customHeight="1">
      <c r="A96" s="74">
        <v>47</v>
      </c>
      <c r="B96" s="77" t="s">
        <v>71</v>
      </c>
      <c r="C96" s="74" t="s">
        <v>18</v>
      </c>
      <c r="D96" s="77"/>
      <c r="E96" s="77" t="s">
        <v>32</v>
      </c>
      <c r="F96" s="77" t="s">
        <v>292</v>
      </c>
      <c r="G96" s="77" t="s">
        <v>121</v>
      </c>
      <c r="H96" s="25">
        <v>0</v>
      </c>
      <c r="I96" s="1"/>
      <c r="J96" s="26"/>
      <c r="K96" s="27">
        <f t="shared" si="3"/>
        <v>0</v>
      </c>
      <c r="L96" s="27"/>
      <c r="M96" s="27"/>
      <c r="N96" s="1">
        <v>2</v>
      </c>
      <c r="O96" s="27">
        <f t="shared" si="4"/>
        <v>10878.949999999999</v>
      </c>
      <c r="P96" s="27">
        <f>1647.47+9231.48</f>
        <v>10878.949999999999</v>
      </c>
      <c r="Q96" s="27"/>
      <c r="R96" s="20"/>
    </row>
    <row r="97" spans="1:38" ht="15" customHeight="1">
      <c r="A97" s="24"/>
      <c r="B97" s="23" t="s">
        <v>71</v>
      </c>
      <c r="C97" s="24" t="s">
        <v>18</v>
      </c>
      <c r="D97" s="23"/>
      <c r="E97" s="23" t="s">
        <v>32</v>
      </c>
      <c r="F97" s="23" t="s">
        <v>292</v>
      </c>
      <c r="G97" s="23" t="s">
        <v>122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ht="15" customHeight="1">
      <c r="A98" s="24">
        <v>48</v>
      </c>
      <c r="B98" s="23" t="s">
        <v>72</v>
      </c>
      <c r="C98" s="24" t="s">
        <v>18</v>
      </c>
      <c r="D98" s="23"/>
      <c r="E98" s="23" t="s">
        <v>19</v>
      </c>
      <c r="F98" s="23" t="s">
        <v>268</v>
      </c>
      <c r="G98" s="23" t="s">
        <v>142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/>
      <c r="B99" s="23" t="s">
        <v>72</v>
      </c>
      <c r="C99" s="24" t="s">
        <v>18</v>
      </c>
      <c r="D99" s="23"/>
      <c r="E99" s="23" t="s">
        <v>19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>
        <v>49</v>
      </c>
      <c r="B100" s="23" t="s">
        <v>73</v>
      </c>
      <c r="C100" s="24" t="s">
        <v>18</v>
      </c>
      <c r="D100" s="23"/>
      <c r="E100" s="23" t="s">
        <v>19</v>
      </c>
      <c r="F100" s="23"/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7" customFormat="1" ht="15" customHeight="1">
      <c r="A101" s="24">
        <v>50</v>
      </c>
      <c r="B101" s="23" t="s">
        <v>74</v>
      </c>
      <c r="C101" s="24" t="s">
        <v>18</v>
      </c>
      <c r="D101" s="23"/>
      <c r="E101" s="23" t="s">
        <v>19</v>
      </c>
      <c r="F101" s="23" t="s">
        <v>414</v>
      </c>
      <c r="G101" s="23" t="s">
        <v>142</v>
      </c>
      <c r="H101" s="25">
        <v>23</v>
      </c>
      <c r="I101" s="1">
        <v>14</v>
      </c>
      <c r="J101" s="26">
        <v>15</v>
      </c>
      <c r="K101" s="27">
        <f t="shared" si="3"/>
        <v>5328.29</v>
      </c>
      <c r="L101" s="27">
        <f>2177.83+3150.46</f>
        <v>5328.29</v>
      </c>
      <c r="M101" s="27"/>
      <c r="N101" s="1">
        <v>10</v>
      </c>
      <c r="O101" s="27">
        <f t="shared" si="4"/>
        <v>31383.29</v>
      </c>
      <c r="P101" s="27">
        <f>8926.48+3667.84+9102.27+7087.42+2599.28</f>
        <v>31383.29</v>
      </c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s="7" customFormat="1" ht="15" customHeight="1">
      <c r="A102" s="24">
        <v>51</v>
      </c>
      <c r="B102" s="23" t="s">
        <v>312</v>
      </c>
      <c r="C102" s="24" t="s">
        <v>18</v>
      </c>
      <c r="D102" s="23"/>
      <c r="E102" s="23" t="s">
        <v>19</v>
      </c>
      <c r="F102" s="23" t="s">
        <v>415</v>
      </c>
      <c r="G102" s="23" t="s">
        <v>142</v>
      </c>
      <c r="H102" s="25">
        <v>13</v>
      </c>
      <c r="I102" s="1">
        <v>9</v>
      </c>
      <c r="J102" s="26">
        <v>9</v>
      </c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/>
      <c r="B103" s="23" t="s">
        <v>312</v>
      </c>
      <c r="C103" s="24" t="s">
        <v>18</v>
      </c>
      <c r="D103" s="23"/>
      <c r="E103" s="23" t="s">
        <v>304</v>
      </c>
      <c r="F103" s="23" t="s">
        <v>339</v>
      </c>
      <c r="G103" s="23" t="s">
        <v>131</v>
      </c>
      <c r="H103" s="25">
        <v>13</v>
      </c>
      <c r="I103" s="1">
        <v>2</v>
      </c>
      <c r="J103" s="26">
        <v>2</v>
      </c>
      <c r="K103" s="27">
        <f t="shared" si="3"/>
        <v>1057.2</v>
      </c>
      <c r="L103" s="27">
        <v>1057.2</v>
      </c>
      <c r="M103" s="27"/>
      <c r="N103" s="1"/>
      <c r="O103" s="27">
        <f t="shared" si="4"/>
        <v>0</v>
      </c>
      <c r="P103" s="28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41</v>
      </c>
      <c r="F104" s="23" t="s">
        <v>467</v>
      </c>
      <c r="G104" s="23" t="s">
        <v>136</v>
      </c>
      <c r="H104" s="25">
        <v>31</v>
      </c>
      <c r="I104" s="1">
        <v>1</v>
      </c>
      <c r="J104" s="26">
        <v>1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52</v>
      </c>
      <c r="B105" s="23" t="s">
        <v>75</v>
      </c>
      <c r="C105" s="24" t="s">
        <v>18</v>
      </c>
      <c r="D105" s="23"/>
      <c r="E105" s="23" t="s">
        <v>19</v>
      </c>
      <c r="F105" s="23" t="s">
        <v>416</v>
      </c>
      <c r="G105" s="23" t="s">
        <v>142</v>
      </c>
      <c r="H105" s="25">
        <v>17</v>
      </c>
      <c r="I105" s="1">
        <v>12</v>
      </c>
      <c r="J105" s="26">
        <v>14</v>
      </c>
      <c r="K105" s="27">
        <f t="shared" si="3"/>
        <v>2637.71</v>
      </c>
      <c r="L105" s="27">
        <f>977.91+1659.8</f>
        <v>2637.71</v>
      </c>
      <c r="M105" s="27"/>
      <c r="N105" s="1">
        <v>18</v>
      </c>
      <c r="O105" s="27">
        <f>P105+Q105</f>
        <v>81455.08</v>
      </c>
      <c r="P105" s="27">
        <f>7142.66+6007.6+11985.28+16853.32+13359.63+12185.56+13921.03</f>
        <v>81455.08</v>
      </c>
      <c r="Q105" s="27"/>
      <c r="R105" s="20"/>
    </row>
    <row r="106" spans="1:38" ht="13.15" customHeight="1">
      <c r="A106" s="24"/>
      <c r="B106" s="23" t="s">
        <v>75</v>
      </c>
      <c r="C106" s="24" t="s">
        <v>18</v>
      </c>
      <c r="D106" s="23"/>
      <c r="E106" s="23" t="s">
        <v>76</v>
      </c>
      <c r="F106" s="23" t="s">
        <v>335</v>
      </c>
      <c r="G106" s="23" t="s">
        <v>131</v>
      </c>
      <c r="H106" s="25">
        <v>21</v>
      </c>
      <c r="I106" s="1">
        <v>4</v>
      </c>
      <c r="J106" s="26">
        <v>4</v>
      </c>
      <c r="K106" s="27">
        <f t="shared" si="3"/>
        <v>0</v>
      </c>
      <c r="L106" s="27"/>
      <c r="M106" s="27"/>
      <c r="N106" s="1">
        <v>17</v>
      </c>
      <c r="O106" s="27">
        <f>P106+Q106</f>
        <v>10660.1</v>
      </c>
      <c r="P106" s="27">
        <v>10660.1</v>
      </c>
      <c r="Q106" s="27"/>
      <c r="R106" s="20"/>
    </row>
    <row r="107" spans="1:38" ht="15" customHeight="1">
      <c r="A107" s="24"/>
      <c r="B107" s="23" t="s">
        <v>140</v>
      </c>
      <c r="C107" s="24" t="s">
        <v>18</v>
      </c>
      <c r="D107" s="23"/>
      <c r="E107" s="23" t="s">
        <v>76</v>
      </c>
      <c r="F107" s="23" t="s">
        <v>377</v>
      </c>
      <c r="G107" s="23" t="s">
        <v>136</v>
      </c>
      <c r="H107" s="25">
        <v>23</v>
      </c>
      <c r="I107" s="2">
        <v>6</v>
      </c>
      <c r="J107" s="26">
        <v>6</v>
      </c>
      <c r="K107" s="27">
        <f t="shared" si="3"/>
        <v>0</v>
      </c>
      <c r="L107" s="27"/>
      <c r="M107" s="27"/>
      <c r="N107" s="2">
        <v>29</v>
      </c>
      <c r="O107" s="27">
        <f>P107+Q107</f>
        <v>42079.31</v>
      </c>
      <c r="P107" s="35">
        <v>42079.31</v>
      </c>
      <c r="Q107" s="27"/>
      <c r="R107" s="20"/>
    </row>
    <row r="108" spans="1:38" s="17" customFormat="1" ht="15" customHeight="1">
      <c r="A108" s="24">
        <v>53</v>
      </c>
      <c r="B108" s="23" t="s">
        <v>267</v>
      </c>
      <c r="C108" s="24" t="s">
        <v>18</v>
      </c>
      <c r="D108" s="23"/>
      <c r="E108" s="23" t="s">
        <v>19</v>
      </c>
      <c r="F108" s="23" t="s">
        <v>268</v>
      </c>
      <c r="G108" s="23" t="s">
        <v>142</v>
      </c>
      <c r="H108" s="25">
        <v>0</v>
      </c>
      <c r="I108" s="2"/>
      <c r="J108" s="26"/>
      <c r="K108" s="27">
        <f t="shared" si="3"/>
        <v>0</v>
      </c>
      <c r="L108" s="27"/>
      <c r="M108" s="27"/>
      <c r="N108" s="2"/>
      <c r="O108" s="27">
        <f>P108+Q108</f>
        <v>0</v>
      </c>
      <c r="P108" s="27"/>
      <c r="Q108" s="27"/>
      <c r="R108" s="20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:38" s="17" customFormat="1" ht="15" customHeight="1">
      <c r="A109" s="24"/>
      <c r="B109" s="23" t="s">
        <v>267</v>
      </c>
      <c r="C109" s="24" t="s">
        <v>18</v>
      </c>
      <c r="D109" s="23"/>
      <c r="E109" s="23" t="s">
        <v>19</v>
      </c>
      <c r="F109" s="23" t="s">
        <v>336</v>
      </c>
      <c r="G109" s="23" t="s">
        <v>131</v>
      </c>
      <c r="H109" s="25">
        <v>8</v>
      </c>
      <c r="I109" s="2">
        <v>1</v>
      </c>
      <c r="J109" s="26">
        <v>1</v>
      </c>
      <c r="K109" s="27">
        <f t="shared" si="3"/>
        <v>0</v>
      </c>
      <c r="L109" s="27"/>
      <c r="M109" s="27"/>
      <c r="N109" s="2">
        <v>4</v>
      </c>
      <c r="O109" s="27">
        <f t="shared" ref="O109:O113" si="5">P109+Q109</f>
        <v>1703.9</v>
      </c>
      <c r="P109" s="27">
        <v>1703.9</v>
      </c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455</v>
      </c>
      <c r="G110" s="23" t="s">
        <v>122</v>
      </c>
      <c r="H110" s="25">
        <v>9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3</v>
      </c>
      <c r="O110" s="27">
        <f t="shared" si="5"/>
        <v>0</v>
      </c>
      <c r="P110" s="27"/>
      <c r="Q110" s="27"/>
      <c r="R110" s="20"/>
    </row>
    <row r="111" spans="1:38" ht="15" customHeight="1">
      <c r="A111" s="24">
        <v>54</v>
      </c>
      <c r="B111" s="23" t="s">
        <v>306</v>
      </c>
      <c r="C111" s="24" t="s">
        <v>30</v>
      </c>
      <c r="D111" s="23" t="s">
        <v>334</v>
      </c>
      <c r="E111" s="23" t="s">
        <v>104</v>
      </c>
      <c r="F111" s="23" t="s">
        <v>417</v>
      </c>
      <c r="G111" s="23" t="s">
        <v>142</v>
      </c>
      <c r="H111" s="25">
        <v>19</v>
      </c>
      <c r="I111" s="2">
        <v>12</v>
      </c>
      <c r="J111" s="26">
        <v>13</v>
      </c>
      <c r="K111" s="27">
        <v>0</v>
      </c>
      <c r="L111" s="27">
        <v>4342.45</v>
      </c>
      <c r="M111" s="27"/>
      <c r="N111" s="2"/>
      <c r="O111" s="27">
        <v>0</v>
      </c>
      <c r="P111" s="27"/>
      <c r="Q111" s="27"/>
      <c r="R111" s="20"/>
    </row>
    <row r="112" spans="1:38" ht="15" customHeight="1">
      <c r="A112" s="24"/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340</v>
      </c>
      <c r="G112" s="23" t="s">
        <v>131</v>
      </c>
      <c r="H112" s="25">
        <v>14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/>
      <c r="O112" s="27">
        <f t="shared" si="5"/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307</v>
      </c>
      <c r="E113" s="23" t="s">
        <v>19</v>
      </c>
      <c r="F113" s="23" t="s">
        <v>350</v>
      </c>
      <c r="G113" s="23" t="s">
        <v>122</v>
      </c>
      <c r="H113" s="25">
        <v>10</v>
      </c>
      <c r="I113" s="2">
        <v>2</v>
      </c>
      <c r="J113" s="26">
        <v>2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30.75" customHeight="1">
      <c r="A114" s="24">
        <v>55</v>
      </c>
      <c r="B114" s="23" t="s">
        <v>78</v>
      </c>
      <c r="C114" s="24" t="s">
        <v>18</v>
      </c>
      <c r="D114" s="23" t="s">
        <v>276</v>
      </c>
      <c r="E114" s="23" t="s">
        <v>19</v>
      </c>
      <c r="F114" s="23" t="s">
        <v>418</v>
      </c>
      <c r="G114" s="23" t="s">
        <v>142</v>
      </c>
      <c r="H114" s="25">
        <v>26</v>
      </c>
      <c r="I114" s="1">
        <v>24</v>
      </c>
      <c r="J114" s="26">
        <v>24</v>
      </c>
      <c r="K114" s="27">
        <f t="shared" si="3"/>
        <v>17351.93</v>
      </c>
      <c r="L114" s="27">
        <f>6292.32+11059.61</f>
        <v>17351.93</v>
      </c>
      <c r="M114" s="27"/>
      <c r="N114" s="1">
        <v>10</v>
      </c>
      <c r="O114" s="27">
        <f t="shared" si="4"/>
        <v>25029.530000000002</v>
      </c>
      <c r="P114" s="27">
        <f>3646.63+15405.61+207.55+4651.68+1118.06</f>
        <v>25029.530000000002</v>
      </c>
      <c r="Q114" s="27"/>
      <c r="R114" s="20"/>
    </row>
    <row r="115" spans="1:38" s="7" customFormat="1" ht="15" customHeight="1">
      <c r="A115" s="24"/>
      <c r="B115" s="23" t="s">
        <v>78</v>
      </c>
      <c r="C115" s="24" t="s">
        <v>18</v>
      </c>
      <c r="D115" s="23"/>
      <c r="E115" s="23" t="s">
        <v>19</v>
      </c>
      <c r="F115" s="23" t="s">
        <v>120</v>
      </c>
      <c r="G115" s="23" t="s">
        <v>131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15" customHeight="1">
      <c r="A117" s="24">
        <v>56</v>
      </c>
      <c r="B117" s="23" t="s">
        <v>79</v>
      </c>
      <c r="C117" s="24" t="s">
        <v>18</v>
      </c>
      <c r="D117" s="23"/>
      <c r="E117" s="23" t="s">
        <v>19</v>
      </c>
      <c r="F117" s="23"/>
      <c r="G117" s="23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80</v>
      </c>
      <c r="C118" s="24" t="s">
        <v>18</v>
      </c>
      <c r="D118" s="23"/>
      <c r="E118" s="23" t="s">
        <v>19</v>
      </c>
      <c r="F118" s="23" t="s">
        <v>419</v>
      </c>
      <c r="G118" s="23" t="s">
        <v>142</v>
      </c>
      <c r="H118" s="25">
        <v>24</v>
      </c>
      <c r="I118" s="1">
        <v>17</v>
      </c>
      <c r="J118" s="26">
        <v>22</v>
      </c>
      <c r="K118" s="27">
        <f t="shared" si="3"/>
        <v>13736.86</v>
      </c>
      <c r="L118" s="27">
        <f>868.67+12868.19</f>
        <v>13736.86</v>
      </c>
      <c r="M118" s="27"/>
      <c r="N118" s="1">
        <v>9</v>
      </c>
      <c r="O118" s="27">
        <f t="shared" si="4"/>
        <v>34241.86</v>
      </c>
      <c r="P118" s="27">
        <f>3333.95+1419.74+6665.65+8634.68+1726.54+12461.3</f>
        <v>34241.86</v>
      </c>
      <c r="Q118" s="27"/>
      <c r="R118" s="20"/>
    </row>
    <row r="119" spans="1:38" s="7" customFormat="1" ht="15" customHeight="1">
      <c r="A119" s="24"/>
      <c r="B119" s="23" t="s">
        <v>80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58</v>
      </c>
      <c r="B120" s="23" t="s">
        <v>372</v>
      </c>
      <c r="C120" s="24" t="s">
        <v>18</v>
      </c>
      <c r="D120" s="23"/>
      <c r="E120" s="23" t="s">
        <v>19</v>
      </c>
      <c r="F120" s="23" t="s">
        <v>420</v>
      </c>
      <c r="G120" s="23" t="s">
        <v>142</v>
      </c>
      <c r="H120" s="25">
        <v>20</v>
      </c>
      <c r="I120" s="1">
        <v>3</v>
      </c>
      <c r="J120" s="26">
        <v>3</v>
      </c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313</v>
      </c>
      <c r="C121" s="24" t="s">
        <v>18</v>
      </c>
      <c r="D121" s="23"/>
      <c r="E121" s="23"/>
      <c r="F121" s="23" t="s">
        <v>342</v>
      </c>
      <c r="G121" s="23" t="s">
        <v>131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/>
      <c r="B122" s="23" t="s">
        <v>313</v>
      </c>
      <c r="C122" s="24" t="s">
        <v>18</v>
      </c>
      <c r="D122" s="23"/>
      <c r="E122" s="23" t="s">
        <v>41</v>
      </c>
      <c r="F122" s="23" t="s">
        <v>366</v>
      </c>
      <c r="G122" s="23" t="s">
        <v>136</v>
      </c>
      <c r="H122" s="25">
        <v>25</v>
      </c>
      <c r="I122" s="1">
        <v>6</v>
      </c>
      <c r="J122" s="26">
        <v>6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60</v>
      </c>
      <c r="B123" s="23" t="s">
        <v>373</v>
      </c>
      <c r="C123" s="24" t="s">
        <v>52</v>
      </c>
      <c r="D123" s="23" t="s">
        <v>378</v>
      </c>
      <c r="E123" s="23" t="s">
        <v>104</v>
      </c>
      <c r="F123" s="23" t="s">
        <v>422</v>
      </c>
      <c r="G123" s="23" t="s">
        <v>142</v>
      </c>
      <c r="H123" s="25">
        <v>7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81</v>
      </c>
      <c r="C124" s="24" t="s">
        <v>18</v>
      </c>
      <c r="D124" s="23"/>
      <c r="E124" s="23" t="s">
        <v>19</v>
      </c>
      <c r="F124" s="23" t="s">
        <v>421</v>
      </c>
      <c r="G124" s="23" t="s">
        <v>142</v>
      </c>
      <c r="H124" s="25">
        <v>14</v>
      </c>
      <c r="I124" s="1">
        <v>2</v>
      </c>
      <c r="J124" s="26">
        <v>2</v>
      </c>
      <c r="K124" s="27">
        <f t="shared" si="3"/>
        <v>0</v>
      </c>
      <c r="L124" s="27"/>
      <c r="M124" s="27"/>
      <c r="N124" s="1">
        <v>5</v>
      </c>
      <c r="O124" s="27">
        <f t="shared" si="4"/>
        <v>7736.87</v>
      </c>
      <c r="P124" s="27">
        <f>2479.17+3260.79+1996.91</f>
        <v>7736.87</v>
      </c>
      <c r="Q124" s="27"/>
      <c r="R124" s="20"/>
    </row>
    <row r="125" spans="1:38" ht="15" customHeight="1">
      <c r="A125" s="24"/>
      <c r="B125" s="23" t="s">
        <v>81</v>
      </c>
      <c r="C125" s="24" t="s">
        <v>18</v>
      </c>
      <c r="D125" s="23"/>
      <c r="E125" s="23" t="s">
        <v>19</v>
      </c>
      <c r="F125" s="23" t="s">
        <v>453</v>
      </c>
      <c r="G125" s="23" t="s">
        <v>122</v>
      </c>
      <c r="H125" s="25">
        <v>3</v>
      </c>
      <c r="I125" s="1"/>
      <c r="J125" s="26"/>
      <c r="K125" s="27">
        <f t="shared" si="3"/>
        <v>0</v>
      </c>
      <c r="L125" s="27"/>
      <c r="M125" s="27"/>
      <c r="N125" s="1">
        <v>1</v>
      </c>
      <c r="O125" s="27">
        <f t="shared" si="4"/>
        <v>1850.1</v>
      </c>
      <c r="P125" s="27">
        <v>1850.1</v>
      </c>
      <c r="Q125" s="27"/>
      <c r="R125" s="20"/>
    </row>
    <row r="126" spans="1:38" s="7" customFormat="1" ht="15" customHeight="1">
      <c r="A126" s="24">
        <v>62</v>
      </c>
      <c r="B126" s="23" t="s">
        <v>82</v>
      </c>
      <c r="C126" s="24" t="s">
        <v>18</v>
      </c>
      <c r="D126" s="23"/>
      <c r="E126" s="23" t="s">
        <v>19</v>
      </c>
      <c r="F126" s="23" t="s">
        <v>423</v>
      </c>
      <c r="G126" s="23" t="s">
        <v>142</v>
      </c>
      <c r="H126" s="25">
        <v>21</v>
      </c>
      <c r="I126" s="1">
        <v>20</v>
      </c>
      <c r="J126" s="26">
        <v>20</v>
      </c>
      <c r="K126" s="27">
        <f t="shared" si="3"/>
        <v>4799.6900000000005</v>
      </c>
      <c r="L126" s="27">
        <f>2262.41+2537.28</f>
        <v>4799.6900000000005</v>
      </c>
      <c r="M126" s="27"/>
      <c r="N126" s="1">
        <v>9</v>
      </c>
      <c r="O126" s="27">
        <f t="shared" si="4"/>
        <v>7901.7</v>
      </c>
      <c r="P126" s="27">
        <v>7901.7</v>
      </c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s="7" customFormat="1" ht="15" customHeight="1">
      <c r="A127" s="24"/>
      <c r="B127" s="23" t="s">
        <v>82</v>
      </c>
      <c r="C127" s="24" t="s">
        <v>18</v>
      </c>
      <c r="D127" s="23"/>
      <c r="E127" s="23" t="s">
        <v>19</v>
      </c>
      <c r="F127" s="23" t="s">
        <v>481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>
        <v>3</v>
      </c>
      <c r="O127" s="27">
        <f t="shared" si="4"/>
        <v>528.6</v>
      </c>
      <c r="P127" s="27">
        <v>528.6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4.45" customHeight="1">
      <c r="A128" s="24">
        <v>63</v>
      </c>
      <c r="B128" s="23" t="s">
        <v>83</v>
      </c>
      <c r="C128" s="24" t="s">
        <v>30</v>
      </c>
      <c r="D128" s="23" t="s">
        <v>184</v>
      </c>
      <c r="E128" s="23" t="s">
        <v>19</v>
      </c>
      <c r="F128" s="23" t="s">
        <v>424</v>
      </c>
      <c r="G128" s="23" t="s">
        <v>142</v>
      </c>
      <c r="H128" s="25">
        <v>47</v>
      </c>
      <c r="I128" s="1">
        <v>41</v>
      </c>
      <c r="J128" s="26">
        <v>41</v>
      </c>
      <c r="K128" s="27">
        <f t="shared" si="3"/>
        <v>14837.82</v>
      </c>
      <c r="L128" s="27">
        <f>4622.62+10215.2</f>
        <v>14837.82</v>
      </c>
      <c r="M128" s="27"/>
      <c r="N128" s="1">
        <v>13</v>
      </c>
      <c r="O128" s="27">
        <f t="shared" si="4"/>
        <v>18488.010000000002</v>
      </c>
      <c r="P128" s="27">
        <f>4741.68+6694.81+3545.26+3506.26</f>
        <v>18488.010000000002</v>
      </c>
      <c r="Q128" s="27"/>
      <c r="R128" s="20"/>
    </row>
    <row r="129" spans="1:38" ht="14.45" customHeight="1">
      <c r="A129" s="24">
        <v>64</v>
      </c>
      <c r="B129" s="23" t="s">
        <v>303</v>
      </c>
      <c r="C129" s="24" t="s">
        <v>18</v>
      </c>
      <c r="D129" s="23"/>
      <c r="E129" s="23" t="s">
        <v>304</v>
      </c>
      <c r="F129" s="23" t="s">
        <v>473</v>
      </c>
      <c r="G129" s="23" t="s">
        <v>131</v>
      </c>
      <c r="H129" s="25">
        <v>13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s="7" customFormat="1" ht="15" customHeight="1">
      <c r="A130" s="24">
        <v>65</v>
      </c>
      <c r="B130" s="23" t="s">
        <v>84</v>
      </c>
      <c r="C130" s="24" t="s">
        <v>18</v>
      </c>
      <c r="D130" s="23"/>
      <c r="E130" s="23" t="s">
        <v>19</v>
      </c>
      <c r="F130" s="23" t="s">
        <v>425</v>
      </c>
      <c r="G130" s="23" t="s">
        <v>142</v>
      </c>
      <c r="H130" s="25">
        <v>21</v>
      </c>
      <c r="I130" s="1">
        <v>17</v>
      </c>
      <c r="J130" s="26">
        <v>19</v>
      </c>
      <c r="K130" s="27">
        <f t="shared" si="3"/>
        <v>15295.92</v>
      </c>
      <c r="L130" s="27">
        <f>1150.59+5761.74+8383.59</f>
        <v>15295.92</v>
      </c>
      <c r="M130" s="27"/>
      <c r="N130" s="1">
        <v>12</v>
      </c>
      <c r="O130" s="27">
        <f t="shared" si="4"/>
        <v>19788.560000000001</v>
      </c>
      <c r="P130" s="27">
        <f>919.46+2791.44+2825.9+1143.1+4609.59+4061.35+168.4+3269.32</f>
        <v>19788.560000000001</v>
      </c>
      <c r="Q130" s="27"/>
      <c r="R130" s="20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 spans="1:38" ht="15" customHeight="1">
      <c r="A131" s="24"/>
      <c r="B131" s="23" t="s">
        <v>84</v>
      </c>
      <c r="C131" s="24" t="s">
        <v>18</v>
      </c>
      <c r="D131" s="23"/>
      <c r="E131" s="23" t="s">
        <v>19</v>
      </c>
      <c r="F131" s="37" t="s">
        <v>468</v>
      </c>
      <c r="G131" s="23" t="s">
        <v>122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</row>
    <row r="132" spans="1:38" ht="15" customHeight="1">
      <c r="A132" s="24">
        <v>66</v>
      </c>
      <c r="B132" s="23" t="s">
        <v>85</v>
      </c>
      <c r="C132" s="24" t="s">
        <v>18</v>
      </c>
      <c r="D132" s="23"/>
      <c r="E132" s="23" t="s">
        <v>77</v>
      </c>
      <c r="F132" s="23" t="s">
        <v>426</v>
      </c>
      <c r="G132" s="23" t="s">
        <v>142</v>
      </c>
      <c r="H132" s="25">
        <v>23</v>
      </c>
      <c r="I132" s="1">
        <v>9</v>
      </c>
      <c r="J132" s="26">
        <v>9</v>
      </c>
      <c r="K132" s="27">
        <f t="shared" si="3"/>
        <v>0</v>
      </c>
      <c r="L132" s="27"/>
      <c r="M132" s="27"/>
      <c r="N132" s="1">
        <v>16</v>
      </c>
      <c r="O132" s="27">
        <f t="shared" si="4"/>
        <v>29239.35</v>
      </c>
      <c r="P132" s="27">
        <f>6606.63+11561.65+5037.38+6033.69</f>
        <v>29239.35</v>
      </c>
      <c r="Q132" s="27"/>
      <c r="R132" s="20"/>
    </row>
    <row r="133" spans="1:38" ht="15" customHeight="1">
      <c r="A133" s="24"/>
      <c r="B133" s="23" t="s">
        <v>85</v>
      </c>
      <c r="C133" s="24" t="s">
        <v>18</v>
      </c>
      <c r="D133" s="23"/>
      <c r="E133" s="23" t="s">
        <v>301</v>
      </c>
      <c r="F133" s="23" t="s">
        <v>337</v>
      </c>
      <c r="G133" s="23" t="s">
        <v>131</v>
      </c>
      <c r="H133" s="25">
        <v>39</v>
      </c>
      <c r="I133" s="1">
        <v>7</v>
      </c>
      <c r="J133" s="26">
        <v>7</v>
      </c>
      <c r="K133" s="27">
        <f t="shared" si="3"/>
        <v>0</v>
      </c>
      <c r="L133" s="27"/>
      <c r="M133" s="27"/>
      <c r="N133" s="1">
        <v>17</v>
      </c>
      <c r="O133" s="27">
        <f t="shared" si="4"/>
        <v>3039.46</v>
      </c>
      <c r="P133" s="27">
        <v>3039.46</v>
      </c>
      <c r="Q133" s="27"/>
      <c r="R133" s="20"/>
    </row>
    <row r="134" spans="1:38" ht="15" customHeight="1">
      <c r="A134" s="24">
        <v>67</v>
      </c>
      <c r="B134" s="23" t="s">
        <v>86</v>
      </c>
      <c r="C134" s="24" t="s">
        <v>18</v>
      </c>
      <c r="D134" s="23"/>
      <c r="E134" s="23" t="s">
        <v>77</v>
      </c>
      <c r="F134" s="23" t="s">
        <v>427</v>
      </c>
      <c r="G134" s="23" t="s">
        <v>142</v>
      </c>
      <c r="H134" s="25">
        <v>24</v>
      </c>
      <c r="I134" s="1">
        <v>10</v>
      </c>
      <c r="J134" s="26">
        <v>10</v>
      </c>
      <c r="K134" s="27">
        <f t="shared" si="3"/>
        <v>0</v>
      </c>
      <c r="L134" s="27"/>
      <c r="M134" s="27"/>
      <c r="N134" s="1">
        <v>11</v>
      </c>
      <c r="O134" s="27">
        <f t="shared" si="4"/>
        <v>22081.42</v>
      </c>
      <c r="P134" s="27">
        <f>1359.87+2464.36+5364.57+11322.68+1569.94</f>
        <v>22081.42</v>
      </c>
      <c r="Q134" s="27"/>
      <c r="R134" s="20"/>
    </row>
    <row r="135" spans="1:38" ht="15" customHeight="1">
      <c r="A135" s="24"/>
      <c r="B135" s="23" t="s">
        <v>86</v>
      </c>
      <c r="C135" s="24" t="s">
        <v>18</v>
      </c>
      <c r="D135" s="23"/>
      <c r="E135" s="23" t="s">
        <v>301</v>
      </c>
      <c r="F135" s="23" t="s">
        <v>338</v>
      </c>
      <c r="G135" s="23" t="s">
        <v>131</v>
      </c>
      <c r="H135" s="25">
        <v>5</v>
      </c>
      <c r="I135" s="1">
        <v>1</v>
      </c>
      <c r="J135" s="26">
        <v>1</v>
      </c>
      <c r="K135" s="27">
        <f t="shared" si="3"/>
        <v>0</v>
      </c>
      <c r="L135" s="27"/>
      <c r="M135" s="27"/>
      <c r="N135" s="1">
        <v>3</v>
      </c>
      <c r="O135" s="27">
        <f t="shared" si="4"/>
        <v>0</v>
      </c>
      <c r="P135" s="27"/>
      <c r="Q135" s="27"/>
      <c r="R135" s="20"/>
    </row>
    <row r="136" spans="1:38" ht="28.9" customHeight="1">
      <c r="A136" s="29">
        <v>68</v>
      </c>
      <c r="B136" s="30" t="s">
        <v>87</v>
      </c>
      <c r="C136" s="29" t="s">
        <v>52</v>
      </c>
      <c r="D136" s="30" t="s">
        <v>88</v>
      </c>
      <c r="E136" s="30" t="s">
        <v>19</v>
      </c>
      <c r="F136" s="30" t="s">
        <v>292</v>
      </c>
      <c r="G136" s="30" t="s">
        <v>142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1564.44</v>
      </c>
      <c r="P136" s="27">
        <f>210.5+1353.94</f>
        <v>1564.44</v>
      </c>
      <c r="Q136" s="27"/>
      <c r="R136" s="20"/>
    </row>
    <row r="137" spans="1:38" ht="29.25" customHeight="1">
      <c r="A137" s="29"/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376</v>
      </c>
      <c r="G137" s="30" t="s">
        <v>122</v>
      </c>
      <c r="H137" s="25">
        <v>24</v>
      </c>
      <c r="I137" s="1">
        <v>8</v>
      </c>
      <c r="J137" s="44">
        <v>8</v>
      </c>
      <c r="K137" s="27">
        <f t="shared" si="3"/>
        <v>0</v>
      </c>
      <c r="L137" s="27"/>
      <c r="M137" s="27"/>
      <c r="N137" s="1">
        <v>5</v>
      </c>
      <c r="O137" s="27">
        <f t="shared" si="4"/>
        <v>4034.98</v>
      </c>
      <c r="P137" s="27">
        <v>4034.98</v>
      </c>
      <c r="Q137" s="27"/>
      <c r="R137" s="20"/>
    </row>
    <row r="138" spans="1:38" ht="26.25" customHeight="1">
      <c r="A138" s="24">
        <v>69</v>
      </c>
      <c r="B138" s="23" t="s">
        <v>89</v>
      </c>
      <c r="C138" s="24" t="s">
        <v>18</v>
      </c>
      <c r="D138" s="23"/>
      <c r="E138" s="23" t="s">
        <v>19</v>
      </c>
      <c r="F138" s="23" t="s">
        <v>428</v>
      </c>
      <c r="G138" s="23" t="s">
        <v>142</v>
      </c>
      <c r="H138" s="25">
        <v>21</v>
      </c>
      <c r="I138" s="1">
        <v>13</v>
      </c>
      <c r="J138" s="26">
        <v>13</v>
      </c>
      <c r="K138" s="27">
        <f t="shared" si="3"/>
        <v>0</v>
      </c>
      <c r="L138" s="27"/>
      <c r="M138" s="27"/>
      <c r="N138" s="1">
        <v>9</v>
      </c>
      <c r="O138" s="27">
        <f t="shared" si="4"/>
        <v>23299.57</v>
      </c>
      <c r="P138" s="27">
        <f>1217+2961.61+4156.54+14964.42</f>
        <v>23299.57</v>
      </c>
      <c r="Q138" s="27"/>
      <c r="R138" s="20"/>
    </row>
    <row r="139" spans="1:38" s="7" customFormat="1" ht="15" customHeight="1">
      <c r="A139" s="24"/>
      <c r="B139" s="23" t="s">
        <v>89</v>
      </c>
      <c r="C139" s="24" t="s">
        <v>18</v>
      </c>
      <c r="D139" s="23"/>
      <c r="E139" s="23" t="s">
        <v>19</v>
      </c>
      <c r="F139" s="23" t="s">
        <v>454</v>
      </c>
      <c r="G139" s="23" t="s">
        <v>122</v>
      </c>
      <c r="H139" s="25">
        <v>15</v>
      </c>
      <c r="I139" s="1"/>
      <c r="J139" s="26"/>
      <c r="K139" s="27">
        <f t="shared" si="3"/>
        <v>0</v>
      </c>
      <c r="L139" s="27"/>
      <c r="M139" s="27"/>
      <c r="N139" s="1">
        <v>7</v>
      </c>
      <c r="O139" s="27">
        <f t="shared" si="4"/>
        <v>2819.2</v>
      </c>
      <c r="P139" s="36">
        <v>2819.2</v>
      </c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70</v>
      </c>
      <c r="B140" s="23" t="s">
        <v>90</v>
      </c>
      <c r="C140" s="24" t="s">
        <v>18</v>
      </c>
      <c r="D140" s="23"/>
      <c r="E140" s="23" t="s">
        <v>19</v>
      </c>
      <c r="F140" s="23" t="s">
        <v>429</v>
      </c>
      <c r="G140" s="23" t="s">
        <v>142</v>
      </c>
      <c r="H140" s="25">
        <v>14</v>
      </c>
      <c r="I140" s="1">
        <v>10</v>
      </c>
      <c r="J140" s="26">
        <v>10</v>
      </c>
      <c r="K140" s="27">
        <f t="shared" si="3"/>
        <v>2471.02</v>
      </c>
      <c r="L140" s="27">
        <f>1251.72+1219.3</f>
        <v>2471.02</v>
      </c>
      <c r="M140" s="27"/>
      <c r="N140" s="1">
        <v>4</v>
      </c>
      <c r="O140" s="27">
        <f t="shared" si="4"/>
        <v>10093.58</v>
      </c>
      <c r="P140" s="27">
        <f>886.32+5410.33+3585.49+211.44</f>
        <v>10093.58</v>
      </c>
      <c r="Q140" s="27"/>
      <c r="R140" s="20"/>
    </row>
    <row r="141" spans="1:38" s="7" customFormat="1" ht="15" customHeight="1">
      <c r="A141" s="24">
        <v>71</v>
      </c>
      <c r="B141" s="23" t="s">
        <v>91</v>
      </c>
      <c r="C141" s="24" t="s">
        <v>18</v>
      </c>
      <c r="D141" s="23"/>
      <c r="E141" s="23" t="s">
        <v>92</v>
      </c>
      <c r="F141" s="23" t="s">
        <v>470</v>
      </c>
      <c r="G141" s="23" t="s">
        <v>142</v>
      </c>
      <c r="H141" s="25">
        <v>15</v>
      </c>
      <c r="I141" s="1">
        <v>1</v>
      </c>
      <c r="J141" s="26">
        <v>1</v>
      </c>
      <c r="K141" s="27">
        <f t="shared" si="3"/>
        <v>0</v>
      </c>
      <c r="L141" s="27"/>
      <c r="M141" s="27"/>
      <c r="N141" s="1">
        <v>17</v>
      </c>
      <c r="O141" s="27">
        <f t="shared" si="4"/>
        <v>35132.880000000005</v>
      </c>
      <c r="P141" s="27">
        <f>8438.22+13425.14+13269.52</f>
        <v>35132.880000000005</v>
      </c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s="7" customFormat="1" ht="15" customHeight="1">
      <c r="A142" s="24"/>
      <c r="B142" s="23" t="s">
        <v>91</v>
      </c>
      <c r="C142" s="24" t="s">
        <v>18</v>
      </c>
      <c r="D142" s="23"/>
      <c r="E142" s="23" t="s">
        <v>92</v>
      </c>
      <c r="F142" s="23" t="s">
        <v>479</v>
      </c>
      <c r="G142" s="23" t="s">
        <v>136</v>
      </c>
      <c r="H142" s="25">
        <v>3</v>
      </c>
      <c r="I142" s="2"/>
      <c r="J142" s="26"/>
      <c r="K142" s="27">
        <f t="shared" si="3"/>
        <v>0</v>
      </c>
      <c r="L142" s="27"/>
      <c r="M142" s="27"/>
      <c r="N142" s="2">
        <v>5</v>
      </c>
      <c r="O142" s="27">
        <f t="shared" si="4"/>
        <v>1145.3</v>
      </c>
      <c r="P142" s="27">
        <v>1145.3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>
        <v>72</v>
      </c>
      <c r="B143" s="23" t="s">
        <v>93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>
        <v>1</v>
      </c>
      <c r="O143" s="27">
        <f t="shared" si="4"/>
        <v>4017.3599999999997</v>
      </c>
      <c r="P143" s="27">
        <f>2431.56+1585.8</f>
        <v>4017.3599999999997</v>
      </c>
      <c r="Q143" s="27"/>
      <c r="R143" s="20"/>
    </row>
    <row r="144" spans="1:38" s="17" customFormat="1" ht="15" customHeight="1">
      <c r="A144" s="24"/>
      <c r="B144" s="23" t="s">
        <v>93</v>
      </c>
      <c r="C144" s="24" t="s">
        <v>18</v>
      </c>
      <c r="D144" s="23"/>
      <c r="E144" s="23" t="s">
        <v>19</v>
      </c>
      <c r="F144" s="23" t="s">
        <v>120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1797.24</v>
      </c>
      <c r="P144" s="27">
        <v>1797.24</v>
      </c>
      <c r="Q144" s="27"/>
      <c r="R144" s="20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spans="1:38" ht="15" customHeight="1">
      <c r="A145" s="24"/>
      <c r="B145" s="23" t="s">
        <v>93</v>
      </c>
      <c r="C145" s="24" t="s">
        <v>18</v>
      </c>
      <c r="D145" s="23"/>
      <c r="E145" s="23"/>
      <c r="F145" s="23" t="s">
        <v>261</v>
      </c>
      <c r="G145" s="23" t="s">
        <v>122</v>
      </c>
      <c r="H145" s="25">
        <v>9</v>
      </c>
      <c r="I145" s="1">
        <v>3</v>
      </c>
      <c r="J145" s="26">
        <v>3</v>
      </c>
      <c r="K145" s="27">
        <f t="shared" si="3"/>
        <v>0</v>
      </c>
      <c r="L145" s="27"/>
      <c r="M145" s="27"/>
      <c r="N145" s="1">
        <v>2</v>
      </c>
      <c r="O145" s="27">
        <f t="shared" si="4"/>
        <v>792.9</v>
      </c>
      <c r="P145" s="27">
        <v>792.9</v>
      </c>
      <c r="Q145" s="27"/>
      <c r="R145" s="20"/>
    </row>
    <row r="146" spans="1:38" ht="15" customHeight="1">
      <c r="A146" s="24">
        <v>73</v>
      </c>
      <c r="B146" s="23" t="s">
        <v>281</v>
      </c>
      <c r="C146" s="24" t="s">
        <v>18</v>
      </c>
      <c r="D146" s="23"/>
      <c r="E146" s="23" t="s">
        <v>19</v>
      </c>
      <c r="F146" s="23" t="s">
        <v>430</v>
      </c>
      <c r="G146" s="23" t="s">
        <v>142</v>
      </c>
      <c r="H146" s="25">
        <v>11</v>
      </c>
      <c r="I146" s="1">
        <v>6</v>
      </c>
      <c r="J146" s="26">
        <v>7</v>
      </c>
      <c r="K146" s="27">
        <f t="shared" si="3"/>
        <v>2702.63</v>
      </c>
      <c r="L146" s="27">
        <f>1279.21+1423.42</f>
        <v>2702.63</v>
      </c>
      <c r="M146" s="27"/>
      <c r="N146" s="1">
        <v>2</v>
      </c>
      <c r="O146" s="27">
        <f t="shared" si="4"/>
        <v>2640.13</v>
      </c>
      <c r="P146" s="27">
        <f>486.08+2154.05</f>
        <v>2640.13</v>
      </c>
      <c r="Q146" s="27"/>
      <c r="R146" s="20"/>
    </row>
    <row r="147" spans="1:38" ht="15" customHeight="1">
      <c r="A147" s="24"/>
      <c r="B147" s="23" t="s">
        <v>281</v>
      </c>
      <c r="C147" s="24" t="s">
        <v>18</v>
      </c>
      <c r="D147" s="23"/>
      <c r="E147" s="23" t="s">
        <v>19</v>
      </c>
      <c r="F147" s="23" t="s">
        <v>285</v>
      </c>
      <c r="G147" s="23" t="s">
        <v>131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>
        <v>1</v>
      </c>
      <c r="O147" s="27">
        <f t="shared" si="4"/>
        <v>0</v>
      </c>
      <c r="P147" s="27"/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349</v>
      </c>
      <c r="G148" s="23" t="s">
        <v>122</v>
      </c>
      <c r="H148" s="25">
        <v>22</v>
      </c>
      <c r="I148" s="1">
        <v>3</v>
      </c>
      <c r="J148" s="26">
        <v>3</v>
      </c>
      <c r="K148" s="27">
        <f t="shared" si="3"/>
        <v>528.6</v>
      </c>
      <c r="L148" s="27">
        <v>528.6</v>
      </c>
      <c r="M148" s="27"/>
      <c r="N148" s="1">
        <v>5</v>
      </c>
      <c r="O148" s="27">
        <f t="shared" si="4"/>
        <v>1019.74</v>
      </c>
      <c r="P148" s="27">
        <v>1019.74</v>
      </c>
      <c r="Q148" s="27"/>
      <c r="R148" s="20"/>
    </row>
    <row r="149" spans="1:38" ht="15" customHeight="1">
      <c r="A149" s="24">
        <v>74</v>
      </c>
      <c r="B149" s="23" t="s">
        <v>94</v>
      </c>
      <c r="C149" s="24" t="s">
        <v>18</v>
      </c>
      <c r="D149" s="23"/>
      <c r="E149" s="23" t="s">
        <v>95</v>
      </c>
      <c r="F149" s="23" t="s">
        <v>431</v>
      </c>
      <c r="G149" s="23" t="s">
        <v>142</v>
      </c>
      <c r="H149" s="25">
        <v>35</v>
      </c>
      <c r="I149" s="1">
        <v>23</v>
      </c>
      <c r="J149" s="26">
        <v>34</v>
      </c>
      <c r="K149" s="27">
        <f t="shared" si="3"/>
        <v>4012.07</v>
      </c>
      <c r="L149" s="27">
        <f>4012.07</f>
        <v>4012.07</v>
      </c>
      <c r="M149" s="27"/>
      <c r="N149" s="1">
        <v>9</v>
      </c>
      <c r="O149" s="27">
        <f t="shared" si="4"/>
        <v>13489.94</v>
      </c>
      <c r="P149" s="27">
        <f>5675.37+2740.58+5073.99</f>
        <v>13489.94</v>
      </c>
      <c r="Q149" s="27"/>
      <c r="R149" s="20"/>
    </row>
    <row r="150" spans="1:38" s="7" customFormat="1" ht="15" customHeight="1">
      <c r="A150" s="24"/>
      <c r="B150" s="23" t="s">
        <v>128</v>
      </c>
      <c r="C150" s="24" t="s">
        <v>18</v>
      </c>
      <c r="D150" s="23"/>
      <c r="E150" s="23" t="s">
        <v>95</v>
      </c>
      <c r="F150" s="23" t="s">
        <v>319</v>
      </c>
      <c r="G150" s="23" t="s">
        <v>124</v>
      </c>
      <c r="H150" s="25">
        <v>10</v>
      </c>
      <c r="I150" s="1">
        <v>2</v>
      </c>
      <c r="J150" s="26">
        <v>2</v>
      </c>
      <c r="K150" s="27">
        <f t="shared" si="3"/>
        <v>6519.4</v>
      </c>
      <c r="L150" s="27">
        <v>6519.4</v>
      </c>
      <c r="M150" s="27"/>
      <c r="N150" s="1">
        <v>2</v>
      </c>
      <c r="O150" s="27">
        <f t="shared" si="4"/>
        <v>3942.68</v>
      </c>
      <c r="P150" s="27">
        <v>3942.68</v>
      </c>
      <c r="Q150" s="27"/>
      <c r="R150" s="20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 spans="1:38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123</v>
      </c>
      <c r="G151" s="23" t="s">
        <v>131</v>
      </c>
      <c r="H151" s="25">
        <v>0</v>
      </c>
      <c r="I151" s="2"/>
      <c r="J151" s="26"/>
      <c r="K151" s="27">
        <f t="shared" si="3"/>
        <v>0</v>
      </c>
      <c r="L151" s="27"/>
      <c r="M151" s="27"/>
      <c r="N151" s="2"/>
      <c r="O151" s="27">
        <f t="shared" si="4"/>
        <v>0</v>
      </c>
      <c r="P151" s="27"/>
      <c r="Q151" s="27"/>
      <c r="R151" s="20"/>
    </row>
    <row r="152" spans="1:38" ht="15" customHeight="1">
      <c r="A152" s="24">
        <v>75</v>
      </c>
      <c r="B152" s="23" t="s">
        <v>96</v>
      </c>
      <c r="C152" s="24" t="s">
        <v>18</v>
      </c>
      <c r="D152" s="23"/>
      <c r="E152" s="23" t="s">
        <v>19</v>
      </c>
      <c r="F152" s="23" t="s">
        <v>432</v>
      </c>
      <c r="G152" s="23" t="s">
        <v>142</v>
      </c>
      <c r="H152" s="25">
        <v>6</v>
      </c>
      <c r="I152" s="1">
        <v>2</v>
      </c>
      <c r="J152" s="26">
        <v>2</v>
      </c>
      <c r="K152" s="27">
        <f t="shared" si="3"/>
        <v>0</v>
      </c>
      <c r="L152" s="27"/>
      <c r="M152" s="27"/>
      <c r="N152" s="1">
        <v>2</v>
      </c>
      <c r="O152" s="27">
        <f t="shared" si="4"/>
        <v>4049.6000000000004</v>
      </c>
      <c r="P152" s="27">
        <f>1639.99+2409.61</f>
        <v>4049.6000000000004</v>
      </c>
      <c r="Q152" s="27"/>
      <c r="R152" s="20"/>
    </row>
    <row r="153" spans="1:38" ht="15" customHeight="1">
      <c r="A153" s="24"/>
      <c r="B153" s="23" t="s">
        <v>96</v>
      </c>
      <c r="C153" s="24" t="s">
        <v>18</v>
      </c>
      <c r="D153" s="23"/>
      <c r="E153" s="23" t="s">
        <v>19</v>
      </c>
      <c r="F153" s="23" t="s">
        <v>292</v>
      </c>
      <c r="G153" s="23" t="s">
        <v>131</v>
      </c>
      <c r="H153" s="25">
        <v>0</v>
      </c>
      <c r="I153" s="1"/>
      <c r="J153" s="26"/>
      <c r="K153" s="27">
        <f t="shared" si="3"/>
        <v>0</v>
      </c>
      <c r="L153" s="27"/>
      <c r="M153" s="27"/>
      <c r="N153" s="1">
        <v>2</v>
      </c>
      <c r="O153" s="27">
        <f t="shared" si="4"/>
        <v>0</v>
      </c>
      <c r="P153" s="27"/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447</v>
      </c>
      <c r="G154" s="23" t="s">
        <v>122</v>
      </c>
      <c r="H154" s="25">
        <v>15</v>
      </c>
      <c r="I154" s="1">
        <v>4</v>
      </c>
      <c r="J154" s="26">
        <v>4</v>
      </c>
      <c r="K154" s="27">
        <f t="shared" si="3"/>
        <v>0</v>
      </c>
      <c r="L154" s="27"/>
      <c r="M154" s="27"/>
      <c r="N154" s="1">
        <v>4</v>
      </c>
      <c r="O154" s="27">
        <f t="shared" si="4"/>
        <v>5814.6</v>
      </c>
      <c r="P154" s="27">
        <v>5814.6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2" t="s">
        <v>19</v>
      </c>
      <c r="F155" s="23" t="s">
        <v>367</v>
      </c>
      <c r="G155" s="22" t="s">
        <v>136</v>
      </c>
      <c r="H155" s="45">
        <v>6</v>
      </c>
      <c r="I155" s="1">
        <v>1</v>
      </c>
      <c r="J155" s="26">
        <v>1</v>
      </c>
      <c r="K155" s="27">
        <f t="shared" ref="K155:K203" si="6">L155+M155</f>
        <v>0</v>
      </c>
      <c r="L155" s="27"/>
      <c r="M155" s="27"/>
      <c r="N155" s="1">
        <v>2</v>
      </c>
      <c r="O155" s="27">
        <f t="shared" si="4"/>
        <v>2466.8000000000002</v>
      </c>
      <c r="P155" s="27">
        <v>2466.8000000000002</v>
      </c>
      <c r="Q155" s="27"/>
      <c r="R155" s="20"/>
    </row>
    <row r="156" spans="1:38" ht="15" customHeight="1">
      <c r="A156" s="24">
        <v>76</v>
      </c>
      <c r="B156" s="23" t="s">
        <v>97</v>
      </c>
      <c r="C156" s="24" t="s">
        <v>18</v>
      </c>
      <c r="D156" s="23"/>
      <c r="E156" s="23" t="s">
        <v>19</v>
      </c>
      <c r="F156" s="23" t="s">
        <v>462</v>
      </c>
      <c r="G156" s="23" t="s">
        <v>142</v>
      </c>
      <c r="H156" s="25">
        <v>6</v>
      </c>
      <c r="I156" s="1"/>
      <c r="J156" s="26"/>
      <c r="K156" s="27">
        <f t="shared" si="6"/>
        <v>0</v>
      </c>
      <c r="L156" s="27"/>
      <c r="M156" s="27"/>
      <c r="N156" s="1">
        <v>1</v>
      </c>
      <c r="O156" s="27">
        <f t="shared" si="4"/>
        <v>0</v>
      </c>
      <c r="P156" s="27"/>
      <c r="Q156" s="27"/>
      <c r="R156" s="20"/>
    </row>
    <row r="157" spans="1:38" ht="15" customHeight="1">
      <c r="A157" s="24">
        <v>77</v>
      </c>
      <c r="B157" s="23" t="s">
        <v>98</v>
      </c>
      <c r="C157" s="24" t="s">
        <v>18</v>
      </c>
      <c r="D157" s="23"/>
      <c r="E157" s="23" t="s">
        <v>19</v>
      </c>
      <c r="F157" s="23" t="s">
        <v>433</v>
      </c>
      <c r="G157" s="23" t="s">
        <v>142</v>
      </c>
      <c r="H157" s="25">
        <v>16</v>
      </c>
      <c r="I157" s="1">
        <v>14</v>
      </c>
      <c r="J157" s="26">
        <v>15</v>
      </c>
      <c r="K157" s="27">
        <f t="shared" si="6"/>
        <v>14455.97</v>
      </c>
      <c r="L157" s="27">
        <f>4990.06+7017.17+2448.74</f>
        <v>14455.97</v>
      </c>
      <c r="M157" s="27"/>
      <c r="N157" s="1">
        <v>8</v>
      </c>
      <c r="O157" s="27">
        <f t="shared" si="4"/>
        <v>35129.230000000003</v>
      </c>
      <c r="P157" s="27">
        <f>887.45+1225.31+5357.66+6830.6+1409.6+19418.61</f>
        <v>35129.230000000003</v>
      </c>
      <c r="Q157" s="27"/>
      <c r="R157" s="20"/>
    </row>
    <row r="158" spans="1:38" ht="15" customHeight="1">
      <c r="A158" s="24">
        <v>78</v>
      </c>
      <c r="B158" s="23" t="s">
        <v>99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>
        <v>2</v>
      </c>
      <c r="O158" s="27">
        <f t="shared" si="4"/>
        <v>0</v>
      </c>
      <c r="P158" s="27"/>
      <c r="Q158" s="27"/>
      <c r="R158" s="20"/>
    </row>
    <row r="159" spans="1:38" ht="24.6" customHeight="1">
      <c r="A159" s="29">
        <v>79</v>
      </c>
      <c r="B159" s="30" t="s">
        <v>100</v>
      </c>
      <c r="C159" s="29" t="s">
        <v>30</v>
      </c>
      <c r="D159" s="30" t="s">
        <v>101</v>
      </c>
      <c r="E159" s="30" t="s">
        <v>19</v>
      </c>
      <c r="F159" s="23" t="s">
        <v>434</v>
      </c>
      <c r="G159" s="30" t="s">
        <v>142</v>
      </c>
      <c r="H159" s="25">
        <v>10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s="7" customFormat="1" ht="29.25" customHeight="1">
      <c r="A160" s="29"/>
      <c r="B160" s="30" t="s">
        <v>100</v>
      </c>
      <c r="C160" s="29" t="s">
        <v>30</v>
      </c>
      <c r="D160" s="30" t="s">
        <v>101</v>
      </c>
      <c r="E160" s="30" t="s">
        <v>19</v>
      </c>
      <c r="F160" s="30" t="s">
        <v>292</v>
      </c>
      <c r="G160" s="30" t="s">
        <v>122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6.25" customHeight="1">
      <c r="A161" s="46">
        <v>80</v>
      </c>
      <c r="B161" s="60" t="s">
        <v>144</v>
      </c>
      <c r="C161" s="46" t="s">
        <v>18</v>
      </c>
      <c r="D161" s="60"/>
      <c r="E161" s="60" t="s">
        <v>104</v>
      </c>
      <c r="F161" s="60" t="s">
        <v>120</v>
      </c>
      <c r="G161" s="60" t="s">
        <v>142</v>
      </c>
      <c r="H161" s="61">
        <v>0</v>
      </c>
      <c r="I161" s="1"/>
      <c r="J161" s="26"/>
      <c r="K161" s="27">
        <f t="shared" si="6"/>
        <v>0</v>
      </c>
      <c r="L161" s="63"/>
      <c r="M161" s="63"/>
      <c r="N161" s="1"/>
      <c r="O161" s="63">
        <f t="shared" si="4"/>
        <v>0</v>
      </c>
      <c r="P161" s="63"/>
      <c r="Q161" s="63"/>
      <c r="R161" s="20"/>
    </row>
    <row r="162" spans="1:38" ht="15.75" customHeight="1">
      <c r="A162" s="24">
        <v>81</v>
      </c>
      <c r="B162" s="23" t="s">
        <v>102</v>
      </c>
      <c r="C162" s="24" t="s">
        <v>18</v>
      </c>
      <c r="D162" s="23"/>
      <c r="E162" s="23" t="s">
        <v>19</v>
      </c>
      <c r="F162" s="60" t="s">
        <v>120</v>
      </c>
      <c r="G162" s="23" t="s">
        <v>142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82</v>
      </c>
      <c r="B163" s="23" t="s">
        <v>103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>
        <v>1</v>
      </c>
      <c r="O163" s="27">
        <f t="shared" si="4"/>
        <v>12670.26</v>
      </c>
      <c r="P163" s="27">
        <f>1061.97+8854.17+2222.88+531.24</f>
        <v>12670.26</v>
      </c>
      <c r="Q163" s="27"/>
      <c r="R163" s="20"/>
    </row>
    <row r="164" spans="1:38" ht="15" customHeight="1">
      <c r="A164" s="24"/>
      <c r="B164" s="23" t="s">
        <v>103</v>
      </c>
      <c r="C164" s="24" t="s">
        <v>18</v>
      </c>
      <c r="D164" s="23"/>
      <c r="E164" s="23" t="s">
        <v>19</v>
      </c>
      <c r="F164" s="23" t="s">
        <v>456</v>
      </c>
      <c r="G164" s="23" t="s">
        <v>122</v>
      </c>
      <c r="H164" s="25">
        <v>9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2731.1</v>
      </c>
      <c r="P164" s="27">
        <v>2731.1</v>
      </c>
      <c r="Q164" s="27"/>
      <c r="R164" s="20"/>
    </row>
    <row r="165" spans="1:38" ht="15" customHeight="1">
      <c r="A165" s="41">
        <v>83</v>
      </c>
      <c r="B165" s="37" t="s">
        <v>302</v>
      </c>
      <c r="C165" s="41" t="s">
        <v>18</v>
      </c>
      <c r="D165" s="37"/>
      <c r="E165" s="37" t="s">
        <v>104</v>
      </c>
      <c r="F165" s="37" t="s">
        <v>461</v>
      </c>
      <c r="G165" s="37" t="s">
        <v>142</v>
      </c>
      <c r="H165" s="42">
        <v>11</v>
      </c>
      <c r="I165" s="40">
        <v>3</v>
      </c>
      <c r="J165" s="43">
        <v>3</v>
      </c>
      <c r="K165" s="39">
        <v>0</v>
      </c>
      <c r="L165" s="39"/>
      <c r="M165" s="39"/>
      <c r="N165" s="40"/>
      <c r="O165" s="39"/>
      <c r="P165" s="39"/>
      <c r="Q165" s="39"/>
      <c r="R165" s="20"/>
    </row>
    <row r="166" spans="1:38" ht="15" customHeight="1">
      <c r="A166" s="24"/>
      <c r="B166" s="23" t="s">
        <v>302</v>
      </c>
      <c r="C166" s="24" t="s">
        <v>18</v>
      </c>
      <c r="D166" s="23"/>
      <c r="E166" s="23" t="s">
        <v>19</v>
      </c>
      <c r="F166" s="23" t="s">
        <v>348</v>
      </c>
      <c r="G166" s="23" t="s">
        <v>122</v>
      </c>
      <c r="H166" s="25">
        <v>19</v>
      </c>
      <c r="I166" s="1">
        <v>3</v>
      </c>
      <c r="J166" s="26">
        <v>3</v>
      </c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</row>
    <row r="167" spans="1:38" ht="15" customHeight="1">
      <c r="A167" s="24">
        <v>84</v>
      </c>
      <c r="B167" s="23" t="s">
        <v>328</v>
      </c>
      <c r="C167" s="24" t="s">
        <v>18</v>
      </c>
      <c r="D167" s="23"/>
      <c r="E167" s="23" t="s">
        <v>19</v>
      </c>
      <c r="F167" s="23" t="s">
        <v>347</v>
      </c>
      <c r="G167" s="23" t="s">
        <v>122</v>
      </c>
      <c r="H167" s="25">
        <v>12</v>
      </c>
      <c r="I167" s="1">
        <v>1</v>
      </c>
      <c r="J167" s="26">
        <v>1</v>
      </c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314</v>
      </c>
      <c r="C168" s="24" t="s">
        <v>18</v>
      </c>
      <c r="D168" s="23"/>
      <c r="E168" s="23" t="s">
        <v>460</v>
      </c>
      <c r="F168" s="23" t="s">
        <v>435</v>
      </c>
      <c r="G168" s="23" t="s">
        <v>142</v>
      </c>
      <c r="H168" s="25">
        <v>4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41"/>
      <c r="B169" s="37" t="s">
        <v>314</v>
      </c>
      <c r="C169" s="41" t="s">
        <v>18</v>
      </c>
      <c r="D169" s="37"/>
      <c r="E169" s="37" t="s">
        <v>460</v>
      </c>
      <c r="F169" s="37" t="s">
        <v>474</v>
      </c>
      <c r="G169" s="37" t="s">
        <v>131</v>
      </c>
      <c r="H169" s="42">
        <v>2</v>
      </c>
      <c r="I169" s="40"/>
      <c r="J169" s="43"/>
      <c r="K169" s="27">
        <f t="shared" si="6"/>
        <v>0</v>
      </c>
      <c r="L169" s="39"/>
      <c r="M169" s="39"/>
      <c r="N169" s="40"/>
      <c r="O169" s="27">
        <f t="shared" si="4"/>
        <v>0</v>
      </c>
      <c r="P169" s="39"/>
      <c r="Q169" s="39"/>
      <c r="R169" s="20"/>
    </row>
    <row r="170" spans="1:38" ht="15" customHeight="1">
      <c r="A170" s="24"/>
      <c r="B170" s="23" t="s">
        <v>314</v>
      </c>
      <c r="C170" s="24" t="s">
        <v>18</v>
      </c>
      <c r="D170" s="23"/>
      <c r="E170" s="23" t="s">
        <v>460</v>
      </c>
      <c r="F170" s="23" t="s">
        <v>465</v>
      </c>
      <c r="G170" s="23" t="s">
        <v>136</v>
      </c>
      <c r="H170" s="25">
        <v>18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20"/>
    </row>
    <row r="171" spans="1:38" ht="15" customHeight="1">
      <c r="A171" s="24">
        <v>86</v>
      </c>
      <c r="B171" s="23" t="s">
        <v>330</v>
      </c>
      <c r="C171" s="24" t="s">
        <v>18</v>
      </c>
      <c r="D171" s="23"/>
      <c r="E171" s="23" t="s">
        <v>104</v>
      </c>
      <c r="F171" s="23" t="s">
        <v>341</v>
      </c>
      <c r="G171" s="23" t="s">
        <v>131</v>
      </c>
      <c r="H171" s="25">
        <v>10</v>
      </c>
      <c r="I171" s="1">
        <v>5</v>
      </c>
      <c r="J171" s="26">
        <v>5</v>
      </c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s="28" customFormat="1" ht="15" customHeight="1">
      <c r="A172" s="24"/>
      <c r="B172" s="23" t="s">
        <v>330</v>
      </c>
      <c r="C172" s="24" t="s">
        <v>18</v>
      </c>
      <c r="D172" s="23"/>
      <c r="E172" s="23" t="s">
        <v>19</v>
      </c>
      <c r="F172" s="23" t="s">
        <v>346</v>
      </c>
      <c r="G172" s="23" t="s">
        <v>122</v>
      </c>
      <c r="H172" s="25">
        <v>10</v>
      </c>
      <c r="I172" s="1">
        <v>1</v>
      </c>
      <c r="J172" s="26">
        <v>1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31"/>
    </row>
    <row r="173" spans="1:38" ht="24.75" customHeight="1">
      <c r="A173" s="29">
        <v>87</v>
      </c>
      <c r="B173" s="30" t="s">
        <v>105</v>
      </c>
      <c r="C173" s="29" t="s">
        <v>30</v>
      </c>
      <c r="D173" s="30" t="s">
        <v>106</v>
      </c>
      <c r="E173" s="30" t="s">
        <v>19</v>
      </c>
      <c r="F173" s="30" t="s">
        <v>436</v>
      </c>
      <c r="G173" s="30" t="s">
        <v>142</v>
      </c>
      <c r="H173" s="25">
        <v>15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23296.730000000003</v>
      </c>
      <c r="P173" s="27">
        <f>4712.69+2993.76+7569.59+911.84+7108.85</f>
        <v>23296.730000000003</v>
      </c>
      <c r="Q173" s="27"/>
      <c r="R173" s="20"/>
    </row>
    <row r="174" spans="1:38" ht="24.75" customHeight="1">
      <c r="A174" s="29">
        <v>88</v>
      </c>
      <c r="B174" s="30" t="s">
        <v>315</v>
      </c>
      <c r="C174" s="29" t="s">
        <v>18</v>
      </c>
      <c r="D174" s="30"/>
      <c r="E174" s="30" t="s">
        <v>19</v>
      </c>
      <c r="F174" s="30" t="s">
        <v>437</v>
      </c>
      <c r="G174" s="30" t="s">
        <v>142</v>
      </c>
      <c r="H174" s="25">
        <v>11</v>
      </c>
      <c r="I174" s="1">
        <v>7</v>
      </c>
      <c r="J174" s="26">
        <v>8</v>
      </c>
      <c r="K174" s="27">
        <f t="shared" si="6"/>
        <v>0</v>
      </c>
      <c r="L174" s="27"/>
      <c r="M174" s="27"/>
      <c r="N174" s="1"/>
      <c r="O174" s="27">
        <f t="shared" si="4"/>
        <v>0</v>
      </c>
      <c r="P174" s="27"/>
      <c r="Q174" s="27"/>
      <c r="R174" s="20"/>
    </row>
    <row r="175" spans="1:38" s="28" customFormat="1" ht="24.75" customHeight="1">
      <c r="A175" s="29"/>
      <c r="B175" s="30" t="s">
        <v>315</v>
      </c>
      <c r="C175" s="29" t="s">
        <v>18</v>
      </c>
      <c r="D175" s="30"/>
      <c r="E175" s="30" t="s">
        <v>322</v>
      </c>
      <c r="F175" s="30" t="s">
        <v>323</v>
      </c>
      <c r="G175" s="30" t="s">
        <v>124</v>
      </c>
      <c r="H175" s="25">
        <v>6</v>
      </c>
      <c r="I175" s="1"/>
      <c r="J175" s="26"/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31"/>
    </row>
    <row r="176" spans="1:38" s="7" customFormat="1" ht="38.450000000000003" customHeight="1">
      <c r="A176" s="29">
        <v>89</v>
      </c>
      <c r="B176" s="30" t="s">
        <v>265</v>
      </c>
      <c r="C176" s="29" t="s">
        <v>18</v>
      </c>
      <c r="D176" s="30"/>
      <c r="E176" s="30" t="s">
        <v>19</v>
      </c>
      <c r="F176" s="30" t="s">
        <v>123</v>
      </c>
      <c r="G176" s="30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s="7" customFormat="1" ht="38.450000000000003" customHeight="1">
      <c r="A177" s="24">
        <v>90</v>
      </c>
      <c r="B177" s="23" t="s">
        <v>107</v>
      </c>
      <c r="C177" s="24" t="s">
        <v>18</v>
      </c>
      <c r="D177" s="23"/>
      <c r="E177" s="23" t="s">
        <v>41</v>
      </c>
      <c r="F177" s="30" t="s">
        <v>438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>
        <v>4</v>
      </c>
      <c r="O177" s="27">
        <f t="shared" si="4"/>
        <v>1221.57</v>
      </c>
      <c r="P177" s="27">
        <v>1221.57</v>
      </c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15.75" customHeight="1">
      <c r="A178" s="24"/>
      <c r="B178" s="23" t="s">
        <v>107</v>
      </c>
      <c r="C178" s="24" t="s">
        <v>18</v>
      </c>
      <c r="D178" s="23"/>
      <c r="E178" s="23" t="s">
        <v>41</v>
      </c>
      <c r="F178" s="23" t="s">
        <v>464</v>
      </c>
      <c r="G178" s="23" t="s">
        <v>136</v>
      </c>
      <c r="H178" s="25">
        <v>12</v>
      </c>
      <c r="I178" s="2">
        <v>7</v>
      </c>
      <c r="J178" s="26">
        <v>7</v>
      </c>
      <c r="K178" s="27">
        <f t="shared" si="6"/>
        <v>0</v>
      </c>
      <c r="L178" s="27"/>
      <c r="M178" s="27"/>
      <c r="N178" s="2">
        <v>19</v>
      </c>
      <c r="O178" s="27">
        <f t="shared" si="4"/>
        <v>6343.2</v>
      </c>
      <c r="P178" s="27">
        <v>6343.2</v>
      </c>
      <c r="Q178" s="27"/>
      <c r="R178" s="20"/>
    </row>
    <row r="179" spans="1:38" ht="16.5" customHeight="1">
      <c r="A179" s="24">
        <v>91</v>
      </c>
      <c r="B179" s="23" t="s">
        <v>108</v>
      </c>
      <c r="C179" s="24" t="s">
        <v>18</v>
      </c>
      <c r="D179" s="23"/>
      <c r="E179" s="23" t="s">
        <v>19</v>
      </c>
      <c r="F179" s="23" t="s">
        <v>439</v>
      </c>
      <c r="G179" s="23" t="s">
        <v>142</v>
      </c>
      <c r="H179" s="25">
        <v>35</v>
      </c>
      <c r="I179" s="1">
        <v>25</v>
      </c>
      <c r="J179" s="26">
        <v>25</v>
      </c>
      <c r="K179" s="27">
        <f t="shared" si="6"/>
        <v>13481.74</v>
      </c>
      <c r="L179" s="27">
        <f>13481.74</f>
        <v>13481.74</v>
      </c>
      <c r="M179" s="27"/>
      <c r="N179" s="1">
        <v>7</v>
      </c>
      <c r="O179" s="27">
        <f t="shared" si="4"/>
        <v>11655.64</v>
      </c>
      <c r="P179" s="27">
        <f>5327.91+336.8+5990.93</f>
        <v>11655.64</v>
      </c>
      <c r="Q179" s="27"/>
      <c r="R179" s="20"/>
    </row>
    <row r="180" spans="1:38" s="7" customFormat="1" ht="16.5" customHeight="1">
      <c r="A180" s="24"/>
      <c r="B180" s="23" t="s">
        <v>108</v>
      </c>
      <c r="C180" s="24" t="s">
        <v>18</v>
      </c>
      <c r="D180" s="23"/>
      <c r="E180" s="23" t="s">
        <v>19</v>
      </c>
      <c r="F180" s="23" t="s">
        <v>345</v>
      </c>
      <c r="G180" s="23" t="s">
        <v>122</v>
      </c>
      <c r="H180" s="25">
        <v>13</v>
      </c>
      <c r="I180" s="1">
        <v>1</v>
      </c>
      <c r="J180" s="26">
        <v>1</v>
      </c>
      <c r="K180" s="27">
        <f t="shared" si="6"/>
        <v>0</v>
      </c>
      <c r="L180" s="27"/>
      <c r="M180" s="27"/>
      <c r="N180" s="1">
        <v>7</v>
      </c>
      <c r="O180" s="27">
        <f t="shared" si="4"/>
        <v>2942.54</v>
      </c>
      <c r="P180" s="27">
        <v>2942.54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7" customFormat="1" ht="16.5" customHeight="1">
      <c r="A181" s="24">
        <v>92</v>
      </c>
      <c r="B181" s="23" t="s">
        <v>146</v>
      </c>
      <c r="C181" s="24" t="s">
        <v>18</v>
      </c>
      <c r="D181" s="23"/>
      <c r="E181" s="23" t="s">
        <v>104</v>
      </c>
      <c r="F181" s="23" t="s">
        <v>475</v>
      </c>
      <c r="G181" s="23" t="s">
        <v>142</v>
      </c>
      <c r="H181" s="25">
        <v>18</v>
      </c>
      <c r="I181" s="1">
        <v>7</v>
      </c>
      <c r="J181" s="26">
        <v>7</v>
      </c>
      <c r="K181" s="27">
        <f t="shared" si="6"/>
        <v>0</v>
      </c>
      <c r="L181" s="27"/>
      <c r="M181" s="27"/>
      <c r="N181" s="1">
        <v>4</v>
      </c>
      <c r="O181" s="27">
        <f t="shared" si="4"/>
        <v>14026.97</v>
      </c>
      <c r="P181" s="27">
        <f>2891.29+9127.51+1007.87+1000.3</f>
        <v>14026.97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3.45" customHeight="1">
      <c r="A182" s="29">
        <v>93</v>
      </c>
      <c r="B182" s="30" t="s">
        <v>109</v>
      </c>
      <c r="C182" s="29" t="s">
        <v>52</v>
      </c>
      <c r="D182" s="30" t="s">
        <v>110</v>
      </c>
      <c r="E182" s="30" t="s">
        <v>19</v>
      </c>
      <c r="F182" s="30" t="s">
        <v>440</v>
      </c>
      <c r="G182" s="30" t="s">
        <v>142</v>
      </c>
      <c r="H182" s="25">
        <v>48</v>
      </c>
      <c r="I182" s="1">
        <v>35</v>
      </c>
      <c r="J182" s="26">
        <v>35</v>
      </c>
      <c r="K182" s="27">
        <f t="shared" si="6"/>
        <v>11917.66</v>
      </c>
      <c r="L182" s="27">
        <f>2547.86+9369.8</f>
        <v>11917.66</v>
      </c>
      <c r="M182" s="27"/>
      <c r="N182" s="1">
        <v>17</v>
      </c>
      <c r="O182" s="27">
        <f t="shared" si="4"/>
        <v>73939.81</v>
      </c>
      <c r="P182" s="27">
        <f>8759.8+505.2+4743.98+1370.7+8567.35+22476.66+1292.01+10655.62+4946.22+5457.87+5164.4</f>
        <v>73939.81</v>
      </c>
      <c r="Q182" s="27"/>
      <c r="R182" s="20"/>
    </row>
    <row r="183" spans="1:38" s="7" customFormat="1" ht="27" customHeight="1">
      <c r="A183" s="29"/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344</v>
      </c>
      <c r="G183" s="30" t="s">
        <v>122</v>
      </c>
      <c r="H183" s="25">
        <v>26</v>
      </c>
      <c r="I183" s="1">
        <v>5</v>
      </c>
      <c r="J183" s="44">
        <v>5</v>
      </c>
      <c r="K183" s="27">
        <f t="shared" si="6"/>
        <v>0</v>
      </c>
      <c r="L183" s="27"/>
      <c r="M183" s="27"/>
      <c r="N183" s="1">
        <v>16</v>
      </c>
      <c r="O183" s="27">
        <f t="shared" si="4"/>
        <v>13923.82</v>
      </c>
      <c r="P183" s="27">
        <v>13923.82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7.75" customHeight="1">
      <c r="A184" s="24">
        <v>94</v>
      </c>
      <c r="B184" s="23" t="s">
        <v>111</v>
      </c>
      <c r="C184" s="24" t="s">
        <v>18</v>
      </c>
      <c r="D184" s="23"/>
      <c r="E184" s="23" t="s">
        <v>112</v>
      </c>
      <c r="F184" s="23" t="s">
        <v>441</v>
      </c>
      <c r="G184" s="23" t="s">
        <v>142</v>
      </c>
      <c r="H184" s="25">
        <v>8</v>
      </c>
      <c r="I184" s="1">
        <v>6</v>
      </c>
      <c r="J184" s="26">
        <v>6</v>
      </c>
      <c r="K184" s="27">
        <f t="shared" si="6"/>
        <v>0</v>
      </c>
      <c r="L184" s="27"/>
      <c r="M184" s="27"/>
      <c r="N184" s="1">
        <v>7</v>
      </c>
      <c r="O184" s="27">
        <f t="shared" si="4"/>
        <v>27541.74</v>
      </c>
      <c r="P184" s="27">
        <f>8928+13420.68+5193.06</f>
        <v>27541.74</v>
      </c>
      <c r="Q184" s="27"/>
      <c r="R184" s="20"/>
    </row>
    <row r="185" spans="1:38" ht="16.5" customHeight="1">
      <c r="A185" s="24"/>
      <c r="B185" s="23" t="s">
        <v>111</v>
      </c>
      <c r="C185" s="24" t="s">
        <v>18</v>
      </c>
      <c r="D185" s="23"/>
      <c r="E185" s="23" t="s">
        <v>112</v>
      </c>
      <c r="F185" s="23" t="s">
        <v>466</v>
      </c>
      <c r="G185" s="23" t="s">
        <v>136</v>
      </c>
      <c r="H185" s="25">
        <v>9</v>
      </c>
      <c r="I185" s="2"/>
      <c r="J185" s="26"/>
      <c r="K185" s="27">
        <f t="shared" si="6"/>
        <v>0</v>
      </c>
      <c r="L185" s="27"/>
      <c r="M185" s="27"/>
      <c r="N185" s="2">
        <v>3</v>
      </c>
      <c r="O185" s="27">
        <f t="shared" si="4"/>
        <v>0</v>
      </c>
      <c r="P185" s="27"/>
      <c r="Q185" s="27"/>
      <c r="R185" s="20"/>
    </row>
    <row r="186" spans="1:38" ht="16.5" customHeight="1">
      <c r="A186" s="41">
        <v>95</v>
      </c>
      <c r="B186" s="37" t="s">
        <v>482</v>
      </c>
      <c r="C186" s="41" t="s">
        <v>18</v>
      </c>
      <c r="D186" s="37"/>
      <c r="E186" s="37" t="s">
        <v>104</v>
      </c>
      <c r="F186" s="37" t="s">
        <v>483</v>
      </c>
      <c r="G186" s="37" t="s">
        <v>122</v>
      </c>
      <c r="H186" s="42">
        <v>1</v>
      </c>
      <c r="I186" s="38"/>
      <c r="J186" s="43"/>
      <c r="K186" s="39"/>
      <c r="L186" s="39"/>
      <c r="M186" s="39"/>
      <c r="N186" s="38"/>
      <c r="O186" s="39"/>
      <c r="P186" s="39"/>
      <c r="Q186" s="39"/>
      <c r="R186" s="20"/>
    </row>
    <row r="187" spans="1:38" ht="16.5" customHeight="1">
      <c r="A187" s="24">
        <v>96</v>
      </c>
      <c r="B187" s="23" t="s">
        <v>113</v>
      </c>
      <c r="C187" s="24" t="s">
        <v>18</v>
      </c>
      <c r="D187" s="23"/>
      <c r="E187" s="23" t="s">
        <v>19</v>
      </c>
      <c r="F187" s="23" t="s">
        <v>120</v>
      </c>
      <c r="G187" s="23" t="s">
        <v>142</v>
      </c>
      <c r="H187" s="25">
        <v>0</v>
      </c>
      <c r="I187" s="1"/>
      <c r="J187" s="26"/>
      <c r="K187" s="27">
        <f t="shared" si="6"/>
        <v>0</v>
      </c>
      <c r="L187" s="27"/>
      <c r="M187" s="27"/>
      <c r="N187" s="1">
        <v>2</v>
      </c>
      <c r="O187" s="27">
        <f t="shared" si="4"/>
        <v>660.75</v>
      </c>
      <c r="P187" s="27">
        <f>660.75</f>
        <v>660.75</v>
      </c>
      <c r="Q187" s="27"/>
      <c r="R187" s="20"/>
    </row>
    <row r="188" spans="1:38" ht="18.75" customHeight="1">
      <c r="A188" s="24"/>
      <c r="B188" s="23" t="s">
        <v>113</v>
      </c>
      <c r="C188" s="24" t="s">
        <v>18</v>
      </c>
      <c r="D188" s="23"/>
      <c r="E188" s="23" t="s">
        <v>19</v>
      </c>
      <c r="F188" s="23" t="s">
        <v>469</v>
      </c>
      <c r="G188" s="23" t="s">
        <v>122</v>
      </c>
      <c r="H188" s="25">
        <v>26</v>
      </c>
      <c r="I188" s="1">
        <v>3</v>
      </c>
      <c r="J188" s="26">
        <v>3</v>
      </c>
      <c r="K188" s="27">
        <f t="shared" si="6"/>
        <v>1961.8</v>
      </c>
      <c r="L188" s="27">
        <v>1961.8</v>
      </c>
      <c r="M188" s="27"/>
      <c r="N188" s="1">
        <v>17</v>
      </c>
      <c r="O188" s="27">
        <f t="shared" si="4"/>
        <v>39483.94</v>
      </c>
      <c r="P188" s="27">
        <v>39483.94</v>
      </c>
      <c r="Q188" s="27"/>
      <c r="R188" s="20"/>
    </row>
    <row r="189" spans="1:38" ht="20.25" customHeight="1">
      <c r="A189" s="24">
        <v>97</v>
      </c>
      <c r="B189" s="23" t="s">
        <v>114</v>
      </c>
      <c r="C189" s="24" t="s">
        <v>18</v>
      </c>
      <c r="D189" s="23"/>
      <c r="E189" s="23" t="s">
        <v>41</v>
      </c>
      <c r="F189" s="23" t="s">
        <v>443</v>
      </c>
      <c r="G189" s="23" t="s">
        <v>142</v>
      </c>
      <c r="H189" s="25">
        <v>9</v>
      </c>
      <c r="I189" s="1">
        <v>1</v>
      </c>
      <c r="J189" s="26">
        <v>2</v>
      </c>
      <c r="K189" s="27">
        <f t="shared" si="6"/>
        <v>0</v>
      </c>
      <c r="L189" s="27"/>
      <c r="M189" s="27"/>
      <c r="N189" s="1">
        <v>2</v>
      </c>
      <c r="O189" s="27">
        <f t="shared" si="4"/>
        <v>12416.6</v>
      </c>
      <c r="P189" s="27">
        <f>7826.67+4589.93</f>
        <v>12416.6</v>
      </c>
      <c r="Q189" s="27"/>
      <c r="R189" s="20"/>
    </row>
    <row r="190" spans="1:38" ht="16.899999999999999" customHeight="1">
      <c r="A190" s="24"/>
      <c r="B190" s="23" t="s">
        <v>141</v>
      </c>
      <c r="C190" s="24" t="s">
        <v>18</v>
      </c>
      <c r="D190" s="23"/>
      <c r="E190" s="23" t="s">
        <v>41</v>
      </c>
      <c r="F190" s="23" t="s">
        <v>368</v>
      </c>
      <c r="G190" s="23" t="s">
        <v>136</v>
      </c>
      <c r="H190" s="25">
        <v>11</v>
      </c>
      <c r="I190" s="2">
        <v>3</v>
      </c>
      <c r="J190" s="26">
        <v>3</v>
      </c>
      <c r="K190" s="27">
        <f t="shared" si="6"/>
        <v>0</v>
      </c>
      <c r="L190" s="27"/>
      <c r="M190" s="27"/>
      <c r="N190" s="2">
        <v>6</v>
      </c>
      <c r="O190" s="27">
        <f t="shared" si="4"/>
        <v>17972.400000000001</v>
      </c>
      <c r="P190" s="27">
        <v>17972.400000000001</v>
      </c>
      <c r="Q190" s="27"/>
      <c r="R190" s="20"/>
    </row>
    <row r="191" spans="1:38" ht="16.899999999999999" customHeight="1">
      <c r="A191" s="24">
        <v>98</v>
      </c>
      <c r="B191" s="23" t="s">
        <v>309</v>
      </c>
      <c r="C191" s="24" t="s">
        <v>18</v>
      </c>
      <c r="D191" s="23"/>
      <c r="E191" s="23" t="s">
        <v>19</v>
      </c>
      <c r="F191" s="23" t="s">
        <v>442</v>
      </c>
      <c r="G191" s="23" t="s">
        <v>142</v>
      </c>
      <c r="H191" s="25">
        <v>25</v>
      </c>
      <c r="I191" s="2">
        <v>21</v>
      </c>
      <c r="J191" s="26">
        <v>22</v>
      </c>
      <c r="K191" s="27">
        <f>L191+M191</f>
        <v>7701.71</v>
      </c>
      <c r="L191" s="27">
        <f>7701.71</f>
        <v>7701.71</v>
      </c>
      <c r="M191" s="27"/>
      <c r="N191" s="2"/>
      <c r="O191" s="27"/>
      <c r="P191" s="27"/>
      <c r="Q191" s="27"/>
      <c r="R191" s="20"/>
    </row>
    <row r="192" spans="1:38" ht="16.899999999999999" customHeight="1">
      <c r="A192" s="24"/>
      <c r="B192" s="23" t="s">
        <v>309</v>
      </c>
      <c r="C192" s="24" t="s">
        <v>18</v>
      </c>
      <c r="D192" s="23"/>
      <c r="E192" s="23" t="s">
        <v>19</v>
      </c>
      <c r="F192" s="23" t="s">
        <v>343</v>
      </c>
      <c r="G192" s="23" t="s">
        <v>122</v>
      </c>
      <c r="H192" s="25">
        <v>8</v>
      </c>
      <c r="I192" s="2">
        <v>2</v>
      </c>
      <c r="J192" s="26">
        <v>2</v>
      </c>
      <c r="K192" s="27">
        <f t="shared" si="6"/>
        <v>0</v>
      </c>
      <c r="L192" s="27"/>
      <c r="M192" s="27"/>
      <c r="N192" s="2"/>
      <c r="O192" s="27">
        <f t="shared" si="4"/>
        <v>0</v>
      </c>
      <c r="P192" s="27"/>
      <c r="Q192" s="27"/>
      <c r="R192" s="20"/>
    </row>
    <row r="193" spans="1:44" ht="16.899999999999999" customHeight="1">
      <c r="A193" s="24"/>
      <c r="B193" s="23" t="s">
        <v>309</v>
      </c>
      <c r="C193" s="24" t="s">
        <v>18</v>
      </c>
      <c r="D193" s="23"/>
      <c r="E193" s="23" t="s">
        <v>19</v>
      </c>
      <c r="F193" s="23" t="s">
        <v>324</v>
      </c>
      <c r="G193" s="23" t="s">
        <v>124</v>
      </c>
      <c r="H193" s="25">
        <v>0</v>
      </c>
      <c r="I193" s="2"/>
      <c r="J193" s="26"/>
      <c r="K193" s="27">
        <f t="shared" si="6"/>
        <v>0</v>
      </c>
      <c r="L193" s="27"/>
      <c r="M193" s="27"/>
      <c r="N193" s="2"/>
      <c r="O193" s="27">
        <f t="shared" si="4"/>
        <v>0</v>
      </c>
      <c r="P193" s="27"/>
      <c r="Q193" s="27"/>
      <c r="R193" s="20"/>
    </row>
    <row r="194" spans="1:44" ht="24.6" customHeight="1">
      <c r="A194" s="29">
        <v>99</v>
      </c>
      <c r="B194" s="30" t="s">
        <v>115</v>
      </c>
      <c r="C194" s="29" t="s">
        <v>52</v>
      </c>
      <c r="D194" s="30" t="s">
        <v>110</v>
      </c>
      <c r="E194" s="30" t="s">
        <v>19</v>
      </c>
      <c r="F194" s="30"/>
      <c r="G194" s="30" t="s">
        <v>142</v>
      </c>
      <c r="H194" s="25">
        <v>0</v>
      </c>
      <c r="I194" s="1"/>
      <c r="J194" s="26"/>
      <c r="K194" s="27">
        <f t="shared" si="6"/>
        <v>0</v>
      </c>
      <c r="L194" s="27"/>
      <c r="M194" s="27"/>
      <c r="N194" s="1">
        <v>1</v>
      </c>
      <c r="O194" s="27">
        <f t="shared" ref="O194:O198" si="7">P194+Q194</f>
        <v>0</v>
      </c>
      <c r="P194" s="27"/>
      <c r="Q194" s="27"/>
      <c r="R194" s="20"/>
    </row>
    <row r="195" spans="1:44" ht="32.25" customHeight="1">
      <c r="A195" s="29"/>
      <c r="B195" s="30" t="s">
        <v>115</v>
      </c>
      <c r="C195" s="29" t="s">
        <v>52</v>
      </c>
      <c r="D195" s="30" t="s">
        <v>110</v>
      </c>
      <c r="E195" s="30" t="s">
        <v>19</v>
      </c>
      <c r="F195" s="30" t="s">
        <v>292</v>
      </c>
      <c r="G195" s="30" t="s">
        <v>122</v>
      </c>
      <c r="H195" s="25">
        <v>0</v>
      </c>
      <c r="I195" s="1"/>
      <c r="J195" s="44"/>
      <c r="K195" s="27">
        <f t="shared" si="6"/>
        <v>0</v>
      </c>
      <c r="L195" s="27"/>
      <c r="M195" s="27"/>
      <c r="N195" s="1">
        <v>1</v>
      </c>
      <c r="O195" s="27">
        <f t="shared" si="7"/>
        <v>0</v>
      </c>
      <c r="P195" s="27"/>
      <c r="Q195" s="27"/>
      <c r="R195" s="20"/>
    </row>
    <row r="196" spans="1:44" ht="34.9" customHeight="1">
      <c r="A196" s="29">
        <v>100</v>
      </c>
      <c r="B196" s="30" t="s">
        <v>116</v>
      </c>
      <c r="C196" s="29" t="s">
        <v>52</v>
      </c>
      <c r="D196" s="30" t="s">
        <v>117</v>
      </c>
      <c r="E196" s="30" t="s">
        <v>19</v>
      </c>
      <c r="F196" s="30" t="s">
        <v>444</v>
      </c>
      <c r="G196" s="30" t="s">
        <v>142</v>
      </c>
      <c r="H196" s="25">
        <v>38</v>
      </c>
      <c r="I196" s="1">
        <v>20</v>
      </c>
      <c r="J196" s="44">
        <v>20</v>
      </c>
      <c r="K196" s="27">
        <f t="shared" si="6"/>
        <v>33986.29</v>
      </c>
      <c r="L196" s="27">
        <f>16538.14+17448.15</f>
        <v>33986.29</v>
      </c>
      <c r="M196" s="27"/>
      <c r="N196" s="1">
        <v>5</v>
      </c>
      <c r="O196" s="27">
        <f t="shared" si="7"/>
        <v>14077.71</v>
      </c>
      <c r="P196" s="27">
        <v>14077.71</v>
      </c>
      <c r="Q196" s="27"/>
      <c r="R196" s="20"/>
    </row>
    <row r="197" spans="1:44" ht="28.5" customHeight="1">
      <c r="A197" s="29">
        <v>101</v>
      </c>
      <c r="B197" s="30" t="s">
        <v>209</v>
      </c>
      <c r="C197" s="29" t="s">
        <v>18</v>
      </c>
      <c r="D197" s="30"/>
      <c r="E197" s="30" t="s">
        <v>19</v>
      </c>
      <c r="F197" s="30" t="s">
        <v>123</v>
      </c>
      <c r="G197" s="30" t="s">
        <v>142</v>
      </c>
      <c r="H197" s="25">
        <v>0</v>
      </c>
      <c r="I197" s="1"/>
      <c r="J197" s="44"/>
      <c r="K197" s="27">
        <f t="shared" si="6"/>
        <v>0</v>
      </c>
      <c r="L197" s="27"/>
      <c r="M197" s="27"/>
      <c r="N197" s="1"/>
      <c r="O197" s="27">
        <f t="shared" si="7"/>
        <v>0</v>
      </c>
      <c r="P197" s="27"/>
      <c r="Q197" s="27"/>
      <c r="R197" s="20"/>
    </row>
    <row r="198" spans="1:44" ht="19.5" customHeight="1">
      <c r="A198" s="29">
        <v>102</v>
      </c>
      <c r="B198" s="30" t="s">
        <v>118</v>
      </c>
      <c r="C198" s="29" t="s">
        <v>18</v>
      </c>
      <c r="D198" s="30"/>
      <c r="E198" s="30" t="s">
        <v>41</v>
      </c>
      <c r="F198" s="30" t="s">
        <v>445</v>
      </c>
      <c r="G198" s="30" t="s">
        <v>142</v>
      </c>
      <c r="H198" s="25">
        <v>22</v>
      </c>
      <c r="I198" s="1">
        <v>13</v>
      </c>
      <c r="J198" s="44">
        <v>14</v>
      </c>
      <c r="K198" s="27">
        <f t="shared" si="6"/>
        <v>10009.780000000001</v>
      </c>
      <c r="L198" s="27">
        <v>10009.780000000001</v>
      </c>
      <c r="M198" s="27"/>
      <c r="N198" s="1">
        <v>23</v>
      </c>
      <c r="O198" s="27">
        <f t="shared" si="7"/>
        <v>33365.57</v>
      </c>
      <c r="P198" s="27">
        <f>2707.13+2929.33+825.14+2229.94+21058.63+3615.4</f>
        <v>33365.57</v>
      </c>
      <c r="Q198" s="27"/>
      <c r="R198" s="20"/>
    </row>
    <row r="199" spans="1:44" s="7" customFormat="1" ht="30.6" customHeight="1">
      <c r="A199" s="24"/>
      <c r="B199" s="23" t="s">
        <v>118</v>
      </c>
      <c r="C199" s="24" t="s">
        <v>18</v>
      </c>
      <c r="D199" s="23"/>
      <c r="E199" s="23" t="s">
        <v>41</v>
      </c>
      <c r="F199" s="23" t="s">
        <v>298</v>
      </c>
      <c r="G199" s="23" t="s">
        <v>124</v>
      </c>
      <c r="H199" s="25">
        <v>0</v>
      </c>
      <c r="I199" s="1"/>
      <c r="J199" s="44"/>
      <c r="K199" s="27">
        <f t="shared" si="6"/>
        <v>0</v>
      </c>
      <c r="L199" s="27"/>
      <c r="M199" s="27"/>
      <c r="N199" s="1">
        <v>1</v>
      </c>
      <c r="O199" s="27">
        <f>P199+Q199</f>
        <v>5462.2</v>
      </c>
      <c r="P199" s="27">
        <v>5462.2</v>
      </c>
      <c r="Q199" s="27"/>
      <c r="R199" s="20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</row>
    <row r="200" spans="1:44" s="14" customFormat="1" ht="27" customHeight="1">
      <c r="A200" s="24"/>
      <c r="B200" s="23" t="s">
        <v>118</v>
      </c>
      <c r="C200" s="24" t="s">
        <v>18</v>
      </c>
      <c r="D200" s="23"/>
      <c r="E200" s="23" t="s">
        <v>41</v>
      </c>
      <c r="F200" s="23" t="s">
        <v>123</v>
      </c>
      <c r="G200" s="23" t="s">
        <v>136</v>
      </c>
      <c r="H200" s="25">
        <v>0</v>
      </c>
      <c r="I200" s="2"/>
      <c r="J200" s="26"/>
      <c r="K200" s="27">
        <f t="shared" si="6"/>
        <v>0</v>
      </c>
      <c r="L200" s="27"/>
      <c r="M200" s="27"/>
      <c r="N200" s="2"/>
      <c r="O200" s="27">
        <f>P200+Q200</f>
        <v>0</v>
      </c>
      <c r="P200" s="27"/>
      <c r="Q200" s="27"/>
      <c r="R200" s="20"/>
      <c r="AM200" s="4"/>
      <c r="AN200" s="4"/>
      <c r="AO200" s="4"/>
      <c r="AP200" s="4"/>
      <c r="AQ200" s="4"/>
      <c r="AR200" s="4"/>
    </row>
    <row r="201" spans="1:44" s="14" customFormat="1" ht="27" customHeight="1">
      <c r="A201" s="46">
        <v>103</v>
      </c>
      <c r="B201" s="60" t="s">
        <v>325</v>
      </c>
      <c r="C201" s="46" t="s">
        <v>18</v>
      </c>
      <c r="D201" s="60"/>
      <c r="E201" s="60" t="s">
        <v>36</v>
      </c>
      <c r="F201" s="60" t="s">
        <v>446</v>
      </c>
      <c r="G201" s="60" t="s">
        <v>142</v>
      </c>
      <c r="H201" s="61">
        <v>10</v>
      </c>
      <c r="I201" s="32">
        <v>5</v>
      </c>
      <c r="J201" s="86">
        <v>5</v>
      </c>
      <c r="K201" s="27">
        <f t="shared" si="6"/>
        <v>0</v>
      </c>
      <c r="L201" s="63"/>
      <c r="M201" s="63"/>
      <c r="N201" s="32"/>
      <c r="O201" s="63">
        <v>0</v>
      </c>
      <c r="P201" s="63"/>
      <c r="Q201" s="63"/>
      <c r="R201" s="20"/>
      <c r="AM201" s="4"/>
      <c r="AN201" s="4"/>
      <c r="AO201" s="4"/>
      <c r="AP201" s="4"/>
      <c r="AQ201" s="4"/>
      <c r="AR201" s="4"/>
    </row>
    <row r="202" spans="1:44" s="14" customFormat="1" ht="27" customHeight="1">
      <c r="A202" s="46"/>
      <c r="B202" s="23" t="s">
        <v>325</v>
      </c>
      <c r="C202" s="24" t="s">
        <v>18</v>
      </c>
      <c r="D202" s="23"/>
      <c r="E202" s="23" t="s">
        <v>36</v>
      </c>
      <c r="F202" s="23" t="s">
        <v>369</v>
      </c>
      <c r="G202" s="23" t="s">
        <v>124</v>
      </c>
      <c r="H202" s="25">
        <v>3</v>
      </c>
      <c r="I202" s="2"/>
      <c r="J202" s="26"/>
      <c r="K202" s="27">
        <f t="shared" si="6"/>
        <v>0</v>
      </c>
      <c r="L202" s="27"/>
      <c r="M202" s="27"/>
      <c r="N202" s="2"/>
      <c r="O202" s="27">
        <v>0</v>
      </c>
      <c r="P202" s="27"/>
      <c r="Q202" s="27"/>
      <c r="R202" s="20"/>
      <c r="AM202" s="4"/>
      <c r="AN202" s="4"/>
      <c r="AO202" s="4"/>
      <c r="AP202" s="4"/>
      <c r="AQ202" s="4"/>
      <c r="AR202" s="4"/>
    </row>
    <row r="203" spans="1:44" s="14" customFormat="1" ht="18.75" customHeight="1" thickBot="1">
      <c r="A203" s="47"/>
      <c r="B203" s="48" t="s">
        <v>325</v>
      </c>
      <c r="C203" s="49" t="s">
        <v>18</v>
      </c>
      <c r="D203" s="48"/>
      <c r="E203" s="48" t="s">
        <v>370</v>
      </c>
      <c r="F203" s="48" t="s">
        <v>371</v>
      </c>
      <c r="G203" s="48" t="s">
        <v>136</v>
      </c>
      <c r="H203" s="50">
        <v>3</v>
      </c>
      <c r="I203" s="33"/>
      <c r="J203" s="51"/>
      <c r="K203" s="34">
        <f t="shared" si="6"/>
        <v>0</v>
      </c>
      <c r="L203" s="52"/>
      <c r="M203" s="52"/>
      <c r="N203" s="33"/>
      <c r="O203" s="52">
        <f>P203+Q203</f>
        <v>0</v>
      </c>
      <c r="P203" s="52"/>
      <c r="Q203" s="52"/>
      <c r="R203" s="20"/>
      <c r="AM203" s="4"/>
      <c r="AN203" s="4"/>
      <c r="AO203" s="4"/>
      <c r="AP203" s="4"/>
      <c r="AQ203" s="4"/>
      <c r="AR203" s="4"/>
    </row>
    <row r="204" spans="1:44" s="14" customFormat="1" ht="16.5" customHeight="1">
      <c r="A204" s="87" t="s">
        <v>145</v>
      </c>
      <c r="B204" s="87"/>
      <c r="C204" s="88"/>
      <c r="D204" s="89"/>
      <c r="E204" s="89"/>
      <c r="F204" s="89"/>
      <c r="G204" s="89"/>
      <c r="H204" s="88">
        <f>SUM(H10:H203)</f>
        <v>2202</v>
      </c>
      <c r="I204" s="88">
        <f>SUM(I10:I203)</f>
        <v>948</v>
      </c>
      <c r="J204" s="88">
        <f>SUM(J10:J203)</f>
        <v>1014</v>
      </c>
      <c r="K204" s="90">
        <f>SUM(K10:K203)</f>
        <v>327389.94000000006</v>
      </c>
      <c r="L204" s="90">
        <f t="shared" ref="L204:Q204" si="8">SUM(L10:L203)</f>
        <v>331732.39000000007</v>
      </c>
      <c r="M204" s="88">
        <f t="shared" si="8"/>
        <v>0</v>
      </c>
      <c r="N204" s="88">
        <f t="shared" si="8"/>
        <v>957</v>
      </c>
      <c r="O204" s="90">
        <f>SUM(O10:O203)</f>
        <v>1670806.0400000007</v>
      </c>
      <c r="P204" s="90">
        <f>SUM(P10:P203)</f>
        <v>1670806.0400000007</v>
      </c>
      <c r="Q204" s="88">
        <f t="shared" si="8"/>
        <v>0</v>
      </c>
      <c r="R204" s="20"/>
      <c r="AM204" s="4"/>
      <c r="AN204" s="4"/>
      <c r="AO204" s="4"/>
      <c r="AP204" s="4"/>
      <c r="AQ204" s="4"/>
      <c r="AR204" s="4"/>
    </row>
    <row r="205" spans="1:44" s="14" customFormat="1" ht="15" customHeight="1">
      <c r="A205" s="5"/>
      <c r="B205" s="6"/>
      <c r="C205" s="5"/>
      <c r="D205" s="6"/>
      <c r="E205" s="6"/>
      <c r="F205" s="6"/>
      <c r="G205" s="6"/>
      <c r="H205" s="9"/>
      <c r="I205" s="9"/>
      <c r="J205" s="9"/>
      <c r="K205" s="9"/>
      <c r="L205" s="9"/>
      <c r="M205" s="11"/>
      <c r="N205" s="9"/>
      <c r="O205" s="9"/>
      <c r="P205" s="5"/>
      <c r="Q205" s="13"/>
      <c r="R205" s="20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12"/>
      <c r="N206" s="4"/>
      <c r="O206" s="4"/>
      <c r="P206" s="4"/>
      <c r="Q206" s="12"/>
      <c r="R206" s="20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15"/>
      <c r="M207" s="19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2"/>
      <c r="N208" s="15"/>
      <c r="O208" s="15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5"/>
      <c r="N209" s="15"/>
      <c r="O209" s="15"/>
      <c r="P209" s="15"/>
      <c r="Q209" s="19"/>
      <c r="S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5"/>
      <c r="N210" s="15"/>
      <c r="O210" s="15"/>
      <c r="P210" s="15"/>
      <c r="Q210" s="19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15"/>
      <c r="Q211" s="19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AM212" s="4"/>
      <c r="AN212" s="4"/>
      <c r="AO212" s="4"/>
      <c r="AP212" s="4"/>
      <c r="AQ212" s="4"/>
      <c r="AR212" s="4"/>
    </row>
    <row r="213" spans="1:44">
      <c r="K213" s="15"/>
      <c r="L213" s="15"/>
      <c r="M213" s="15"/>
      <c r="N213" s="15"/>
      <c r="O213" s="15"/>
      <c r="P213" s="15"/>
      <c r="Q213" s="19"/>
      <c r="S213" s="20"/>
    </row>
    <row r="215" spans="1:44">
      <c r="K215" s="15"/>
      <c r="O215" s="15"/>
      <c r="P215" s="15"/>
    </row>
    <row r="218" spans="1:44">
      <c r="O218" s="15"/>
    </row>
    <row r="219" spans="1:44" s="12" customForma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15"/>
      <c r="N219" s="4"/>
      <c r="O219" s="4"/>
      <c r="P219" s="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4"/>
      <c r="AN219" s="4"/>
      <c r="AO219" s="4"/>
      <c r="AP219" s="4"/>
      <c r="AQ219" s="4"/>
      <c r="AR219" s="4"/>
    </row>
  </sheetData>
  <mergeCells count="8">
    <mergeCell ref="A204:B204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R185"/>
  <sheetViews>
    <sheetView topLeftCell="A101" zoomScale="79" zoomScaleNormal="79" workbookViewId="0">
      <selection activeCell="F146" sqref="A7:Q170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f t="shared" si="0"/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3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2</v>
      </c>
      <c r="I11" s="1"/>
      <c r="J11" s="26"/>
      <c r="K11" s="27">
        <f t="shared" ref="K11:K76" si="2">L11+M11</f>
        <v>0</v>
      </c>
      <c r="L11" s="27"/>
      <c r="M11" s="27"/>
      <c r="N11" s="1">
        <v>1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3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292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1</v>
      </c>
      <c r="I14" s="1"/>
      <c r="J14" s="26"/>
      <c r="K14" s="27">
        <f t="shared" si="2"/>
        <v>0</v>
      </c>
      <c r="L14" s="27"/>
      <c r="M14" s="27"/>
      <c r="N14" s="1">
        <v>2</v>
      </c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268</v>
      </c>
      <c r="G15" s="23" t="s">
        <v>136</v>
      </c>
      <c r="H15" s="25">
        <v>2</v>
      </c>
      <c r="I15" s="2"/>
      <c r="J15" s="26"/>
      <c r="K15" s="27">
        <f t="shared" si="2"/>
        <v>0</v>
      </c>
      <c r="L15" s="27"/>
      <c r="M15" s="27"/>
      <c r="N15" s="2"/>
      <c r="O15" s="27">
        <f t="shared" si="1"/>
        <v>0</v>
      </c>
      <c r="P15" s="27"/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5</v>
      </c>
      <c r="I16" s="1">
        <v>1</v>
      </c>
      <c r="J16" s="26">
        <v>1</v>
      </c>
      <c r="K16" s="27">
        <f t="shared" si="2"/>
        <v>0</v>
      </c>
      <c r="L16" s="27"/>
      <c r="M16" s="27"/>
      <c r="N16" s="1">
        <v>5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0</v>
      </c>
      <c r="I19" s="1"/>
      <c r="J19" s="26"/>
      <c r="K19" s="27">
        <f t="shared" si="2"/>
        <v>0</v>
      </c>
      <c r="L19" s="27"/>
      <c r="M19" s="27"/>
      <c r="N19" s="1">
        <v>4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2</v>
      </c>
      <c r="I20" s="1"/>
      <c r="J20" s="26"/>
      <c r="K20" s="27">
        <f t="shared" si="2"/>
        <v>0</v>
      </c>
      <c r="L20" s="27"/>
      <c r="M20" s="27"/>
      <c r="N20" s="1">
        <v>6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292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292</v>
      </c>
      <c r="G22" s="23" t="s">
        <v>124</v>
      </c>
      <c r="H22" s="25">
        <v>0</v>
      </c>
      <c r="I22" s="2"/>
      <c r="J22" s="26"/>
      <c r="K22" s="27">
        <f t="shared" si="2"/>
        <v>0</v>
      </c>
      <c r="L22" s="27"/>
      <c r="M22" s="27"/>
      <c r="N22" s="2">
        <v>1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/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2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1</v>
      </c>
      <c r="I27" s="1"/>
      <c r="J27" s="44"/>
      <c r="K27" s="27">
        <f t="shared" si="2"/>
        <v>0</v>
      </c>
      <c r="L27" s="27"/>
      <c r="M27" s="27"/>
      <c r="N27" s="1"/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/>
      <c r="L28" s="27"/>
      <c r="M28" s="27"/>
      <c r="N28" s="1"/>
      <c r="O28" s="27"/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0</v>
      </c>
      <c r="I29" s="1"/>
      <c r="J29" s="26"/>
      <c r="K29" s="27">
        <f t="shared" si="2"/>
        <v>0</v>
      </c>
      <c r="L29" s="27"/>
      <c r="M29" s="27"/>
      <c r="N29" s="1"/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/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123</v>
      </c>
      <c r="G31" s="23" t="s">
        <v>136</v>
      </c>
      <c r="H31" s="25">
        <v>0</v>
      </c>
      <c r="I31" s="2"/>
      <c r="J31" s="26"/>
      <c r="K31" s="27">
        <f t="shared" si="2"/>
        <v>0</v>
      </c>
      <c r="L31" s="27"/>
      <c r="M31" s="27"/>
      <c r="N31" s="2"/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2</v>
      </c>
      <c r="I32" s="1"/>
      <c r="J32" s="26"/>
      <c r="K32" s="27">
        <f t="shared" si="2"/>
        <v>0</v>
      </c>
      <c r="L32" s="27"/>
      <c r="M32" s="27"/>
      <c r="N32" s="1">
        <v>3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292</v>
      </c>
      <c r="G33" s="23" t="s">
        <v>124</v>
      </c>
      <c r="H33" s="25">
        <v>1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/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2</v>
      </c>
      <c r="I35" s="1"/>
      <c r="J35" s="26"/>
      <c r="K35" s="27">
        <f t="shared" si="2"/>
        <v>0</v>
      </c>
      <c r="L35" s="27"/>
      <c r="M35" s="27"/>
      <c r="N35" s="1">
        <v>1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0</v>
      </c>
      <c r="I36" s="1"/>
      <c r="J36" s="26"/>
      <c r="K36" s="27">
        <f t="shared" si="2"/>
        <v>0</v>
      </c>
      <c r="L36" s="27"/>
      <c r="M36" s="27"/>
      <c r="N36" s="1">
        <v>3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292</v>
      </c>
      <c r="G37" s="23" t="s">
        <v>136</v>
      </c>
      <c r="H37" s="25">
        <v>0</v>
      </c>
      <c r="I37" s="2"/>
      <c r="J37" s="26"/>
      <c r="K37" s="27">
        <f t="shared" si="2"/>
        <v>0</v>
      </c>
      <c r="L37" s="27"/>
      <c r="M37" s="27"/>
      <c r="N37" s="2"/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1</v>
      </c>
      <c r="I38" s="1"/>
      <c r="J38" s="26"/>
      <c r="K38" s="27">
        <f t="shared" si="2"/>
        <v>0</v>
      </c>
      <c r="L38" s="27"/>
      <c r="M38" s="27"/>
      <c r="N38" s="1">
        <v>2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123</v>
      </c>
      <c r="G39" s="23" t="s">
        <v>136</v>
      </c>
      <c r="H39" s="25">
        <v>3</v>
      </c>
      <c r="I39" s="2"/>
      <c r="J39" s="26"/>
      <c r="K39" s="27">
        <f t="shared" si="2"/>
        <v>0</v>
      </c>
      <c r="L39" s="27"/>
      <c r="M39" s="27"/>
      <c r="N39" s="2"/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1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2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2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120</v>
      </c>
      <c r="G43" s="23" t="s">
        <v>124</v>
      </c>
      <c r="H43" s="25">
        <v>0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1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294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/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120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1</v>
      </c>
      <c r="O47" s="27">
        <f t="shared" si="1"/>
        <v>0</v>
      </c>
      <c r="P47" s="27"/>
      <c r="Q47" s="27"/>
      <c r="R47" s="20"/>
    </row>
    <row r="48" spans="1:38" ht="15" customHeight="1">
      <c r="A48" s="24">
        <v>20</v>
      </c>
      <c r="B48" s="23" t="s">
        <v>48</v>
      </c>
      <c r="C48" s="24" t="s">
        <v>18</v>
      </c>
      <c r="D48" s="23"/>
      <c r="E48" s="23" t="s">
        <v>19</v>
      </c>
      <c r="F48" s="23" t="s">
        <v>295</v>
      </c>
      <c r="G48" s="23" t="s">
        <v>142</v>
      </c>
      <c r="H48" s="25">
        <v>2</v>
      </c>
      <c r="I48" s="1">
        <v>1</v>
      </c>
      <c r="J48" s="26">
        <v>1</v>
      </c>
      <c r="K48" s="27">
        <f t="shared" si="2"/>
        <v>0</v>
      </c>
      <c r="L48" s="27"/>
      <c r="M48" s="27"/>
      <c r="N48" s="1">
        <v>2</v>
      </c>
      <c r="O48" s="27">
        <f t="shared" si="1"/>
        <v>0</v>
      </c>
      <c r="P48" s="27"/>
      <c r="Q48" s="27"/>
      <c r="R48" s="20"/>
    </row>
    <row r="49" spans="1:38" ht="15" customHeight="1">
      <c r="A49" s="24"/>
      <c r="B49" s="23" t="s">
        <v>48</v>
      </c>
      <c r="C49" s="24" t="s">
        <v>18</v>
      </c>
      <c r="D49" s="23"/>
      <c r="E49" s="23" t="s">
        <v>19</v>
      </c>
      <c r="F49" s="23" t="s">
        <v>120</v>
      </c>
      <c r="G49" s="23" t="s">
        <v>122</v>
      </c>
      <c r="H49" s="25">
        <v>0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20"/>
    </row>
    <row r="50" spans="1:38" ht="15" customHeight="1">
      <c r="A50" s="24">
        <v>21</v>
      </c>
      <c r="B50" s="23" t="s">
        <v>49</v>
      </c>
      <c r="C50" s="24" t="s">
        <v>18</v>
      </c>
      <c r="D50" s="23"/>
      <c r="E50" s="23" t="s">
        <v>19</v>
      </c>
      <c r="F50" s="23" t="s">
        <v>120</v>
      </c>
      <c r="G50" s="23" t="s">
        <v>142</v>
      </c>
      <c r="H50" s="25">
        <v>3</v>
      </c>
      <c r="I50" s="1"/>
      <c r="J50" s="26"/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20"/>
    </row>
    <row r="51" spans="1:38" s="7" customFormat="1" ht="15" customHeight="1">
      <c r="A51" s="24">
        <v>22</v>
      </c>
      <c r="B51" s="23" t="s">
        <v>138</v>
      </c>
      <c r="C51" s="24" t="s">
        <v>18</v>
      </c>
      <c r="D51" s="23"/>
      <c r="E51" s="23" t="s">
        <v>34</v>
      </c>
      <c r="F51" s="23" t="s">
        <v>292</v>
      </c>
      <c r="G51" s="23" t="s">
        <v>142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 spans="1:38" ht="15" customHeight="1">
      <c r="A52" s="24"/>
      <c r="B52" s="23" t="s">
        <v>138</v>
      </c>
      <c r="C52" s="24" t="s">
        <v>18</v>
      </c>
      <c r="D52" s="23"/>
      <c r="E52" s="23" t="s">
        <v>34</v>
      </c>
      <c r="F52" s="23" t="s">
        <v>268</v>
      </c>
      <c r="G52" s="23" t="s">
        <v>136</v>
      </c>
      <c r="H52" s="25">
        <v>1</v>
      </c>
      <c r="I52" s="2"/>
      <c r="J52" s="26"/>
      <c r="K52" s="27">
        <f t="shared" si="2"/>
        <v>0</v>
      </c>
      <c r="L52" s="27"/>
      <c r="M52" s="27"/>
      <c r="N52" s="2"/>
      <c r="O52" s="27">
        <f t="shared" si="1"/>
        <v>0</v>
      </c>
      <c r="P52" s="27"/>
      <c r="Q52" s="27"/>
      <c r="R52" s="20"/>
    </row>
    <row r="53" spans="1:38" s="8" customFormat="1">
      <c r="A53" s="78">
        <v>23</v>
      </c>
      <c r="B53" s="79" t="s">
        <v>147</v>
      </c>
      <c r="C53" s="80" t="s">
        <v>18</v>
      </c>
      <c r="D53" s="79"/>
      <c r="E53" s="79" t="s">
        <v>50</v>
      </c>
      <c r="F53" s="79"/>
      <c r="G53" s="79" t="s">
        <v>142</v>
      </c>
      <c r="H53" s="81">
        <v>0</v>
      </c>
      <c r="I53" s="82"/>
      <c r="J53" s="26"/>
      <c r="K53" s="27">
        <f t="shared" si="2"/>
        <v>0</v>
      </c>
      <c r="L53" s="83"/>
      <c r="M53" s="83"/>
      <c r="N53" s="26"/>
      <c r="O53" s="27">
        <f t="shared" si="1"/>
        <v>0</v>
      </c>
      <c r="P53" s="78"/>
      <c r="Q53" s="84"/>
      <c r="R53" s="20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7" customFormat="1" ht="24.75" customHeight="1">
      <c r="A54" s="29">
        <v>24</v>
      </c>
      <c r="B54" s="30" t="s">
        <v>51</v>
      </c>
      <c r="C54" s="29" t="s">
        <v>52</v>
      </c>
      <c r="D54" s="30" t="s">
        <v>53</v>
      </c>
      <c r="E54" s="30" t="s">
        <v>19</v>
      </c>
      <c r="F54" s="30" t="s">
        <v>292</v>
      </c>
      <c r="G54" s="30" t="s">
        <v>142</v>
      </c>
      <c r="H54" s="25">
        <v>2</v>
      </c>
      <c r="I54" s="1"/>
      <c r="J54" s="26"/>
      <c r="K54" s="27">
        <f t="shared" si="2"/>
        <v>0</v>
      </c>
      <c r="L54" s="27"/>
      <c r="M54" s="27"/>
      <c r="N54" s="1">
        <v>10</v>
      </c>
      <c r="O54" s="27">
        <f t="shared" si="1"/>
        <v>0</v>
      </c>
      <c r="P54" s="27"/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>
        <v>25</v>
      </c>
      <c r="B55" s="23" t="s">
        <v>54</v>
      </c>
      <c r="C55" s="24" t="s">
        <v>18</v>
      </c>
      <c r="D55" s="23"/>
      <c r="E55" s="23" t="s">
        <v>19</v>
      </c>
      <c r="F55" s="23" t="s">
        <v>120</v>
      </c>
      <c r="G55" s="23" t="s">
        <v>142</v>
      </c>
      <c r="H55" s="25">
        <v>4</v>
      </c>
      <c r="I55" s="1">
        <v>1</v>
      </c>
      <c r="J55" s="26">
        <v>1</v>
      </c>
      <c r="K55" s="27">
        <f t="shared" si="2"/>
        <v>0</v>
      </c>
      <c r="L55" s="27"/>
      <c r="M55" s="27"/>
      <c r="N55" s="1">
        <v>2</v>
      </c>
      <c r="O55" s="27">
        <f t="shared" si="1"/>
        <v>0</v>
      </c>
      <c r="P55" s="27"/>
      <c r="Q55" s="27"/>
      <c r="R55" s="20"/>
    </row>
    <row r="56" spans="1:38" ht="15" customHeight="1">
      <c r="A56" s="24"/>
      <c r="B56" s="23" t="s">
        <v>54</v>
      </c>
      <c r="C56" s="24" t="s">
        <v>18</v>
      </c>
      <c r="D56" s="23"/>
      <c r="E56" s="23" t="s">
        <v>19</v>
      </c>
      <c r="F56" s="23" t="s">
        <v>292</v>
      </c>
      <c r="G56" s="23" t="s">
        <v>122</v>
      </c>
      <c r="H56" s="25">
        <v>1</v>
      </c>
      <c r="I56" s="1"/>
      <c r="J56" s="26"/>
      <c r="K56" s="27">
        <f t="shared" si="2"/>
        <v>0</v>
      </c>
      <c r="L56" s="27"/>
      <c r="M56" s="27"/>
      <c r="N56" s="1">
        <v>1</v>
      </c>
      <c r="O56" s="27">
        <f t="shared" si="1"/>
        <v>0</v>
      </c>
      <c r="P56" s="27"/>
      <c r="Q56" s="27"/>
      <c r="R56" s="20"/>
    </row>
    <row r="57" spans="1:38" s="7" customFormat="1" ht="15" customHeight="1">
      <c r="A57" s="24">
        <v>26</v>
      </c>
      <c r="B57" s="23" t="s">
        <v>55</v>
      </c>
      <c r="C57" s="24" t="s">
        <v>18</v>
      </c>
      <c r="D57" s="23"/>
      <c r="E57" s="23" t="s">
        <v>19</v>
      </c>
      <c r="F57" s="23" t="s">
        <v>292</v>
      </c>
      <c r="G57" s="23" t="s">
        <v>142</v>
      </c>
      <c r="H57" s="25">
        <v>0</v>
      </c>
      <c r="I57" s="1"/>
      <c r="J57" s="26"/>
      <c r="K57" s="27">
        <f t="shared" si="2"/>
        <v>0</v>
      </c>
      <c r="L57" s="27"/>
      <c r="M57" s="27"/>
      <c r="N57" s="1">
        <v>1</v>
      </c>
      <c r="O57" s="27">
        <f t="shared" si="1"/>
        <v>0</v>
      </c>
      <c r="P57" s="27"/>
      <c r="Q57" s="27"/>
      <c r="R57" s="20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 spans="1:38" ht="15.6" customHeight="1">
      <c r="A58" s="24"/>
      <c r="B58" s="23" t="s">
        <v>55</v>
      </c>
      <c r="C58" s="24" t="s">
        <v>18</v>
      </c>
      <c r="D58" s="23"/>
      <c r="E58" s="23" t="s">
        <v>19</v>
      </c>
      <c r="F58" s="23" t="s">
        <v>292</v>
      </c>
      <c r="G58" s="23" t="s">
        <v>122</v>
      </c>
      <c r="H58" s="25">
        <v>1</v>
      </c>
      <c r="I58" s="1"/>
      <c r="J58" s="26"/>
      <c r="K58" s="27">
        <f t="shared" si="2"/>
        <v>0</v>
      </c>
      <c r="L58" s="27"/>
      <c r="M58" s="27"/>
      <c r="N58" s="1">
        <v>1</v>
      </c>
      <c r="O58" s="27">
        <f t="shared" si="1"/>
        <v>0</v>
      </c>
      <c r="P58" s="27"/>
      <c r="Q58" s="27"/>
      <c r="R58" s="20"/>
    </row>
    <row r="59" spans="1:38" s="7" customFormat="1" ht="15" customHeight="1">
      <c r="A59" s="24">
        <v>27</v>
      </c>
      <c r="B59" s="23" t="s">
        <v>56</v>
      </c>
      <c r="C59" s="24" t="s">
        <v>52</v>
      </c>
      <c r="D59" s="23" t="s">
        <v>57</v>
      </c>
      <c r="E59" s="23" t="s">
        <v>19</v>
      </c>
      <c r="F59" s="23" t="s">
        <v>120</v>
      </c>
      <c r="G59" s="23" t="s">
        <v>142</v>
      </c>
      <c r="H59" s="25">
        <v>0</v>
      </c>
      <c r="I59" s="1"/>
      <c r="J59" s="26"/>
      <c r="K59" s="27">
        <f t="shared" si="2"/>
        <v>0</v>
      </c>
      <c r="L59" s="27"/>
      <c r="M59" s="27"/>
      <c r="N59" s="1"/>
      <c r="O59" s="27">
        <f t="shared" si="1"/>
        <v>0</v>
      </c>
      <c r="P59" s="27"/>
      <c r="Q59" s="27"/>
      <c r="R59" s="20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 spans="1:38" s="7" customFormat="1" ht="15" customHeight="1">
      <c r="A60" s="24">
        <v>28</v>
      </c>
      <c r="B60" s="23" t="s">
        <v>58</v>
      </c>
      <c r="C60" s="24" t="s">
        <v>18</v>
      </c>
      <c r="D60" s="23"/>
      <c r="E60" s="23" t="s">
        <v>19</v>
      </c>
      <c r="F60" s="23" t="s">
        <v>292</v>
      </c>
      <c r="G60" s="23" t="s">
        <v>142</v>
      </c>
      <c r="H60" s="25">
        <v>2</v>
      </c>
      <c r="I60" s="1"/>
      <c r="J60" s="26"/>
      <c r="K60" s="27">
        <f t="shared" si="2"/>
        <v>0</v>
      </c>
      <c r="L60" s="27"/>
      <c r="M60" s="27"/>
      <c r="N60" s="1"/>
      <c r="O60" s="27">
        <f t="shared" si="1"/>
        <v>0</v>
      </c>
      <c r="P60" s="27"/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s="7" customFormat="1" ht="15" customHeight="1">
      <c r="A61" s="24"/>
      <c r="B61" s="23" t="s">
        <v>58</v>
      </c>
      <c r="C61" s="24" t="s">
        <v>18</v>
      </c>
      <c r="D61" s="23"/>
      <c r="E61" s="23" t="s">
        <v>19</v>
      </c>
      <c r="F61" s="23" t="s">
        <v>292</v>
      </c>
      <c r="G61" s="23" t="s">
        <v>122</v>
      </c>
      <c r="H61" s="25">
        <v>0</v>
      </c>
      <c r="I61" s="1"/>
      <c r="J61" s="26"/>
      <c r="K61" s="27">
        <f t="shared" si="2"/>
        <v>0</v>
      </c>
      <c r="L61" s="27"/>
      <c r="M61" s="27"/>
      <c r="N61" s="1">
        <v>3</v>
      </c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29</v>
      </c>
      <c r="B62" s="23" t="s">
        <v>59</v>
      </c>
      <c r="C62" s="24" t="s">
        <v>18</v>
      </c>
      <c r="D62" s="23"/>
      <c r="E62" s="23" t="s">
        <v>60</v>
      </c>
      <c r="F62" s="23" t="s">
        <v>292</v>
      </c>
      <c r="G62" s="23" t="s">
        <v>142</v>
      </c>
      <c r="H62" s="25">
        <v>1</v>
      </c>
      <c r="I62" s="1"/>
      <c r="J62" s="26"/>
      <c r="K62" s="27">
        <f t="shared" si="2"/>
        <v>0</v>
      </c>
      <c r="L62" s="27"/>
      <c r="M62" s="27"/>
      <c r="N62" s="1"/>
      <c r="O62" s="27">
        <f t="shared" si="1"/>
        <v>0</v>
      </c>
      <c r="P62" s="27"/>
      <c r="Q62" s="27"/>
      <c r="R62" s="20"/>
    </row>
    <row r="63" spans="1:38" ht="15" customHeight="1">
      <c r="A63" s="24"/>
      <c r="B63" s="23" t="s">
        <v>139</v>
      </c>
      <c r="C63" s="24" t="s">
        <v>18</v>
      </c>
      <c r="D63" s="23"/>
      <c r="E63" s="23" t="s">
        <v>60</v>
      </c>
      <c r="F63" s="23" t="s">
        <v>292</v>
      </c>
      <c r="G63" s="23" t="s">
        <v>136</v>
      </c>
      <c r="H63" s="25">
        <v>2</v>
      </c>
      <c r="I63" s="2"/>
      <c r="J63" s="26"/>
      <c r="K63" s="27">
        <f t="shared" si="2"/>
        <v>0</v>
      </c>
      <c r="L63" s="27"/>
      <c r="M63" s="27"/>
      <c r="N63" s="2"/>
      <c r="O63" s="27">
        <f t="shared" si="1"/>
        <v>0</v>
      </c>
      <c r="P63" s="27"/>
      <c r="Q63" s="27"/>
      <c r="R63" s="20"/>
    </row>
    <row r="64" spans="1:38" s="7" customFormat="1" ht="15" customHeight="1">
      <c r="A64" s="24">
        <v>30</v>
      </c>
      <c r="B64" s="23" t="s">
        <v>61</v>
      </c>
      <c r="C64" s="24" t="s">
        <v>18</v>
      </c>
      <c r="D64" s="23"/>
      <c r="E64" s="23" t="s">
        <v>41</v>
      </c>
      <c r="F64" s="23" t="s">
        <v>268</v>
      </c>
      <c r="G64" s="23" t="s">
        <v>142</v>
      </c>
      <c r="H64" s="25">
        <v>3</v>
      </c>
      <c r="I64" s="1"/>
      <c r="J64" s="26"/>
      <c r="K64" s="27">
        <f t="shared" si="2"/>
        <v>0</v>
      </c>
      <c r="L64" s="27"/>
      <c r="M64" s="27"/>
      <c r="N64" s="1">
        <v>7</v>
      </c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" customHeight="1">
      <c r="A65" s="24"/>
      <c r="B65" s="23" t="s">
        <v>61</v>
      </c>
      <c r="C65" s="24" t="s">
        <v>18</v>
      </c>
      <c r="D65" s="23"/>
      <c r="E65" s="23" t="s">
        <v>41</v>
      </c>
      <c r="F65" s="23" t="s">
        <v>292</v>
      </c>
      <c r="G65" s="23" t="s">
        <v>136</v>
      </c>
      <c r="H65" s="25">
        <v>0</v>
      </c>
      <c r="I65" s="2"/>
      <c r="J65" s="26"/>
      <c r="K65" s="27">
        <f t="shared" si="2"/>
        <v>0</v>
      </c>
      <c r="L65" s="27"/>
      <c r="M65" s="27"/>
      <c r="N65" s="2"/>
      <c r="O65" s="27">
        <f t="shared" si="1"/>
        <v>0</v>
      </c>
      <c r="P65" s="27"/>
      <c r="Q65" s="27"/>
      <c r="R65" s="20"/>
    </row>
    <row r="66" spans="1:38" ht="15" customHeight="1">
      <c r="A66" s="24">
        <v>31</v>
      </c>
      <c r="B66" s="23" t="s">
        <v>62</v>
      </c>
      <c r="C66" s="24" t="s">
        <v>18</v>
      </c>
      <c r="D66" s="23"/>
      <c r="E66" s="23" t="s">
        <v>19</v>
      </c>
      <c r="F66" s="23" t="s">
        <v>292</v>
      </c>
      <c r="G66" s="23" t="s">
        <v>142</v>
      </c>
      <c r="H66" s="25">
        <v>4</v>
      </c>
      <c r="I66" s="1"/>
      <c r="J66" s="26"/>
      <c r="K66" s="27">
        <f t="shared" si="2"/>
        <v>0</v>
      </c>
      <c r="L66" s="27"/>
      <c r="M66" s="27"/>
      <c r="N66" s="1"/>
      <c r="O66" s="27">
        <f t="shared" si="1"/>
        <v>0</v>
      </c>
      <c r="P66" s="27"/>
      <c r="Q66" s="27"/>
      <c r="R66" s="20"/>
    </row>
    <row r="67" spans="1:38" ht="15" customHeight="1">
      <c r="A67" s="24"/>
      <c r="B67" s="23" t="s">
        <v>62</v>
      </c>
      <c r="C67" s="24" t="s">
        <v>18</v>
      </c>
      <c r="D67" s="23"/>
      <c r="E67" s="23" t="s">
        <v>19</v>
      </c>
      <c r="F67" s="23" t="s">
        <v>277</v>
      </c>
      <c r="G67" s="23" t="s">
        <v>124</v>
      </c>
      <c r="H67" s="25">
        <v>0</v>
      </c>
      <c r="I67" s="1"/>
      <c r="J67" s="26"/>
      <c r="K67" s="27">
        <f t="shared" si="2"/>
        <v>0</v>
      </c>
      <c r="L67" s="27"/>
      <c r="M67" s="27"/>
      <c r="N67" s="1"/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62</v>
      </c>
      <c r="C68" s="24" t="s">
        <v>18</v>
      </c>
      <c r="D68" s="23"/>
      <c r="E68" s="23" t="s">
        <v>19</v>
      </c>
      <c r="F68" s="23" t="s">
        <v>120</v>
      </c>
      <c r="G68" s="23" t="s">
        <v>122</v>
      </c>
      <c r="H68" s="25">
        <v>0</v>
      </c>
      <c r="I68" s="1"/>
      <c r="J68" s="26"/>
      <c r="K68" s="27">
        <f t="shared" si="2"/>
        <v>0</v>
      </c>
      <c r="L68" s="27"/>
      <c r="M68" s="27"/>
      <c r="N68" s="1"/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62</v>
      </c>
      <c r="C69" s="24" t="s">
        <v>18</v>
      </c>
      <c r="D69" s="23"/>
      <c r="E69" s="23" t="s">
        <v>19</v>
      </c>
      <c r="F69" s="23" t="s">
        <v>292</v>
      </c>
      <c r="G69" s="23" t="s">
        <v>210</v>
      </c>
      <c r="H69" s="25">
        <v>0</v>
      </c>
      <c r="I69" s="1"/>
      <c r="J69" s="26"/>
      <c r="K69" s="27">
        <f t="shared" si="2"/>
        <v>0</v>
      </c>
      <c r="L69" s="27"/>
      <c r="M69" s="27"/>
      <c r="N69" s="1">
        <v>1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32</v>
      </c>
      <c r="B70" s="23" t="s">
        <v>63</v>
      </c>
      <c r="C70" s="24" t="s">
        <v>18</v>
      </c>
      <c r="D70" s="23"/>
      <c r="E70" s="23" t="s">
        <v>41</v>
      </c>
      <c r="F70" s="23" t="s">
        <v>120</v>
      </c>
      <c r="G70" s="23" t="s">
        <v>142</v>
      </c>
      <c r="H70" s="25">
        <v>2</v>
      </c>
      <c r="I70" s="1"/>
      <c r="J70" s="26"/>
      <c r="K70" s="27">
        <f t="shared" si="2"/>
        <v>0</v>
      </c>
      <c r="L70" s="27"/>
      <c r="M70" s="27"/>
      <c r="N70" s="1">
        <v>8</v>
      </c>
      <c r="O70" s="27">
        <f t="shared" si="1"/>
        <v>0</v>
      </c>
      <c r="P70" s="27"/>
      <c r="Q70" s="27"/>
      <c r="R70" s="20"/>
    </row>
    <row r="71" spans="1:38" ht="15" customHeight="1">
      <c r="A71" s="24"/>
      <c r="B71" s="23" t="s">
        <v>63</v>
      </c>
      <c r="C71" s="24" t="s">
        <v>18</v>
      </c>
      <c r="D71" s="23"/>
      <c r="E71" s="23" t="s">
        <v>41</v>
      </c>
      <c r="F71" s="23" t="s">
        <v>120</v>
      </c>
      <c r="G71" s="23" t="s">
        <v>136</v>
      </c>
      <c r="H71" s="25">
        <v>0</v>
      </c>
      <c r="I71" s="2"/>
      <c r="J71" s="26"/>
      <c r="K71" s="27">
        <f t="shared" si="2"/>
        <v>0</v>
      </c>
      <c r="L71" s="27"/>
      <c r="M71" s="27"/>
      <c r="N71" s="2"/>
      <c r="O71" s="27">
        <f t="shared" si="1"/>
        <v>0</v>
      </c>
      <c r="P71" s="27"/>
      <c r="Q71" s="27"/>
      <c r="R71" s="20"/>
    </row>
    <row r="72" spans="1:38" s="17" customFormat="1" ht="15" customHeight="1">
      <c r="A72" s="24">
        <v>33</v>
      </c>
      <c r="B72" s="23" t="s">
        <v>64</v>
      </c>
      <c r="C72" s="24" t="s">
        <v>18</v>
      </c>
      <c r="D72" s="23"/>
      <c r="E72" s="23" t="s">
        <v>41</v>
      </c>
      <c r="F72" s="23" t="s">
        <v>123</v>
      </c>
      <c r="G72" s="23" t="s">
        <v>142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</row>
    <row r="73" spans="1:38" ht="15" customHeight="1">
      <c r="A73" s="24"/>
      <c r="B73" s="23" t="s">
        <v>64</v>
      </c>
      <c r="C73" s="24" t="s">
        <v>18</v>
      </c>
      <c r="D73" s="23"/>
      <c r="E73" s="23" t="s">
        <v>41</v>
      </c>
      <c r="F73" s="23" t="s">
        <v>123</v>
      </c>
      <c r="G73" s="23" t="s">
        <v>122</v>
      </c>
      <c r="H73" s="25">
        <v>0</v>
      </c>
      <c r="I73" s="1"/>
      <c r="J73" s="26"/>
      <c r="K73" s="27">
        <f t="shared" si="2"/>
        <v>0</v>
      </c>
      <c r="L73" s="27"/>
      <c r="M73" s="27"/>
      <c r="N73" s="1"/>
      <c r="O73" s="27">
        <f t="shared" si="1"/>
        <v>0</v>
      </c>
      <c r="P73" s="27"/>
      <c r="Q73" s="27"/>
      <c r="R73" s="20"/>
    </row>
    <row r="74" spans="1:38" s="17" customFormat="1" ht="15" customHeight="1">
      <c r="A74" s="24">
        <v>34</v>
      </c>
      <c r="B74" s="23" t="s">
        <v>238</v>
      </c>
      <c r="C74" s="24" t="s">
        <v>18</v>
      </c>
      <c r="D74" s="23"/>
      <c r="E74" s="23" t="s">
        <v>41</v>
      </c>
      <c r="F74" s="23" t="s">
        <v>123</v>
      </c>
      <c r="G74" s="23" t="s">
        <v>142</v>
      </c>
      <c r="H74" s="25">
        <v>3</v>
      </c>
      <c r="I74" s="1"/>
      <c r="J74" s="26"/>
      <c r="K74" s="27">
        <f t="shared" si="2"/>
        <v>0</v>
      </c>
      <c r="L74" s="27"/>
      <c r="M74" s="27"/>
      <c r="N74" s="1"/>
      <c r="O74" s="27">
        <f t="shared" si="1"/>
        <v>0</v>
      </c>
      <c r="P74" s="27"/>
      <c r="Q74" s="27"/>
      <c r="R74" s="20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</row>
    <row r="75" spans="1:38" s="7" customFormat="1" ht="15" customHeight="1">
      <c r="A75" s="24">
        <v>35</v>
      </c>
      <c r="B75" s="23" t="s">
        <v>65</v>
      </c>
      <c r="C75" s="24" t="s">
        <v>18</v>
      </c>
      <c r="D75" s="23"/>
      <c r="E75" s="23" t="s">
        <v>66</v>
      </c>
      <c r="F75" s="23" t="s">
        <v>295</v>
      </c>
      <c r="G75" s="23" t="s">
        <v>142</v>
      </c>
      <c r="H75" s="25">
        <v>1</v>
      </c>
      <c r="I75" s="1"/>
      <c r="J75" s="26"/>
      <c r="K75" s="27">
        <f t="shared" si="2"/>
        <v>0</v>
      </c>
      <c r="L75" s="27"/>
      <c r="M75" s="27"/>
      <c r="N75" s="1"/>
      <c r="O75" s="27">
        <f t="shared" si="1"/>
        <v>0</v>
      </c>
      <c r="P75" s="27"/>
      <c r="Q75" s="27"/>
      <c r="R75" s="20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 spans="1:38" ht="15" customHeight="1">
      <c r="A76" s="24"/>
      <c r="B76" s="23" t="s">
        <v>65</v>
      </c>
      <c r="C76" s="24" t="s">
        <v>18</v>
      </c>
      <c r="D76" s="23"/>
      <c r="E76" s="23" t="s">
        <v>66</v>
      </c>
      <c r="F76" s="23" t="s">
        <v>123</v>
      </c>
      <c r="G76" s="23" t="s">
        <v>136</v>
      </c>
      <c r="H76" s="25">
        <v>0</v>
      </c>
      <c r="I76" s="2"/>
      <c r="J76" s="26"/>
      <c r="K76" s="27">
        <f t="shared" si="2"/>
        <v>0</v>
      </c>
      <c r="L76" s="27"/>
      <c r="M76" s="27"/>
      <c r="N76" s="2"/>
      <c r="O76" s="27">
        <f t="shared" si="1"/>
        <v>0</v>
      </c>
      <c r="P76" s="27"/>
      <c r="Q76" s="27"/>
      <c r="R76" s="20"/>
    </row>
    <row r="77" spans="1:38" s="7" customFormat="1" ht="15" customHeight="1">
      <c r="A77" s="24">
        <v>36</v>
      </c>
      <c r="B77" s="23" t="s">
        <v>67</v>
      </c>
      <c r="C77" s="24" t="s">
        <v>18</v>
      </c>
      <c r="D77" s="23"/>
      <c r="E77" s="23" t="s">
        <v>19</v>
      </c>
      <c r="F77" s="23" t="s">
        <v>292</v>
      </c>
      <c r="G77" s="23" t="s">
        <v>142</v>
      </c>
      <c r="H77" s="25">
        <v>4</v>
      </c>
      <c r="I77" s="1">
        <v>1</v>
      </c>
      <c r="J77" s="26">
        <v>1</v>
      </c>
      <c r="K77" s="27">
        <f t="shared" ref="K77:K147" si="3">L77+M77</f>
        <v>0</v>
      </c>
      <c r="L77" s="27"/>
      <c r="M77" s="27"/>
      <c r="N77" s="1">
        <v>5</v>
      </c>
      <c r="O77" s="27">
        <f t="shared" si="1"/>
        <v>0</v>
      </c>
      <c r="P77" s="27"/>
      <c r="Q77" s="27"/>
      <c r="R77" s="20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 spans="1:38" s="28" customFormat="1" ht="15" customHeight="1">
      <c r="A78" s="24"/>
      <c r="B78" s="23" t="s">
        <v>67</v>
      </c>
      <c r="C78" s="24" t="s">
        <v>18</v>
      </c>
      <c r="D78" s="23"/>
      <c r="E78" s="23" t="s">
        <v>104</v>
      </c>
      <c r="F78" s="23" t="s">
        <v>123</v>
      </c>
      <c r="G78" s="23" t="s">
        <v>122</v>
      </c>
      <c r="H78" s="25">
        <v>0</v>
      </c>
      <c r="I78" s="1"/>
      <c r="J78" s="26"/>
      <c r="K78" s="27">
        <f t="shared" si="3"/>
        <v>0</v>
      </c>
      <c r="L78" s="27"/>
      <c r="M78" s="27"/>
      <c r="N78" s="1"/>
      <c r="O78" s="27">
        <f t="shared" si="1"/>
        <v>0</v>
      </c>
      <c r="P78" s="27"/>
      <c r="Q78" s="27"/>
      <c r="R78" s="20"/>
    </row>
    <row r="79" spans="1:38" ht="15" customHeight="1">
      <c r="A79" s="24">
        <v>37</v>
      </c>
      <c r="B79" s="23" t="s">
        <v>68</v>
      </c>
      <c r="C79" s="24" t="s">
        <v>18</v>
      </c>
      <c r="D79" s="24"/>
      <c r="E79" s="23" t="s">
        <v>50</v>
      </c>
      <c r="F79" s="23" t="s">
        <v>268</v>
      </c>
      <c r="G79" s="23" t="s">
        <v>142</v>
      </c>
      <c r="H79" s="25">
        <v>1</v>
      </c>
      <c r="I79" s="1"/>
      <c r="J79" s="26"/>
      <c r="K79" s="27">
        <f t="shared" si="3"/>
        <v>0</v>
      </c>
      <c r="L79" s="27"/>
      <c r="M79" s="27"/>
      <c r="N79" s="1"/>
      <c r="O79" s="27">
        <f t="shared" si="1"/>
        <v>0</v>
      </c>
      <c r="P79" s="27"/>
      <c r="Q79" s="27"/>
      <c r="R79" s="20"/>
    </row>
    <row r="80" spans="1:38" ht="15" customHeight="1">
      <c r="A80" s="24"/>
      <c r="B80" s="23" t="s">
        <v>68</v>
      </c>
      <c r="C80" s="24" t="s">
        <v>18</v>
      </c>
      <c r="D80" s="23"/>
      <c r="E80" s="23" t="s">
        <v>50</v>
      </c>
      <c r="F80" s="23" t="s">
        <v>123</v>
      </c>
      <c r="G80" s="23" t="s">
        <v>136</v>
      </c>
      <c r="H80" s="25">
        <v>0</v>
      </c>
      <c r="I80" s="2"/>
      <c r="J80" s="26"/>
      <c r="K80" s="27">
        <f t="shared" si="3"/>
        <v>0</v>
      </c>
      <c r="L80" s="27"/>
      <c r="M80" s="27"/>
      <c r="N80" s="2"/>
      <c r="O80" s="27">
        <f t="shared" si="1"/>
        <v>0</v>
      </c>
      <c r="P80" s="27"/>
      <c r="Q80" s="27"/>
      <c r="R80" s="20"/>
    </row>
    <row r="81" spans="1:38" ht="15" customHeight="1">
      <c r="A81" s="24"/>
      <c r="B81" s="23" t="s">
        <v>68</v>
      </c>
      <c r="C81" s="24" t="s">
        <v>18</v>
      </c>
      <c r="D81" s="23"/>
      <c r="E81" s="23" t="s">
        <v>50</v>
      </c>
      <c r="F81" s="23" t="s">
        <v>292</v>
      </c>
      <c r="G81" s="23" t="s">
        <v>124</v>
      </c>
      <c r="H81" s="25">
        <v>0</v>
      </c>
      <c r="I81" s="2"/>
      <c r="J81" s="26"/>
      <c r="K81" s="27">
        <f t="shared" si="3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ht="15" customHeight="1">
      <c r="A82" s="24">
        <v>38</v>
      </c>
      <c r="B82" s="23" t="s">
        <v>127</v>
      </c>
      <c r="C82" s="24" t="s">
        <v>18</v>
      </c>
      <c r="D82" s="23"/>
      <c r="E82" s="23" t="s">
        <v>41</v>
      </c>
      <c r="F82" s="23" t="s">
        <v>120</v>
      </c>
      <c r="G82" s="23" t="s">
        <v>142</v>
      </c>
      <c r="H82" s="25">
        <v>0</v>
      </c>
      <c r="I82" s="2"/>
      <c r="J82" s="26"/>
      <c r="K82" s="27">
        <f t="shared" si="3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ht="15" customHeight="1">
      <c r="A83" s="24"/>
      <c r="B83" s="23" t="s">
        <v>127</v>
      </c>
      <c r="C83" s="24" t="s">
        <v>18</v>
      </c>
      <c r="D83" s="23"/>
      <c r="E83" s="23" t="s">
        <v>50</v>
      </c>
      <c r="F83" s="23" t="s">
        <v>295</v>
      </c>
      <c r="G83" s="23" t="s">
        <v>136</v>
      </c>
      <c r="H83" s="25">
        <v>3</v>
      </c>
      <c r="I83" s="2"/>
      <c r="J83" s="26"/>
      <c r="K83" s="27">
        <f t="shared" si="3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ht="15" customHeight="1">
      <c r="A84" s="24"/>
      <c r="B84" s="23" t="s">
        <v>127</v>
      </c>
      <c r="C84" s="24" t="s">
        <v>18</v>
      </c>
      <c r="D84" s="23"/>
      <c r="E84" s="23" t="s">
        <v>50</v>
      </c>
      <c r="F84" s="23" t="s">
        <v>294</v>
      </c>
      <c r="G84" s="23" t="s">
        <v>124</v>
      </c>
      <c r="H84" s="25">
        <v>1</v>
      </c>
      <c r="I84" s="2"/>
      <c r="J84" s="26"/>
      <c r="K84" s="27">
        <f t="shared" si="3"/>
        <v>0</v>
      </c>
      <c r="L84" s="27"/>
      <c r="M84" s="27"/>
      <c r="N84" s="2"/>
      <c r="O84" s="27">
        <f t="shared" ref="O84:O161" si="4">P84+Q84</f>
        <v>0</v>
      </c>
      <c r="P84" s="27"/>
      <c r="Q84" s="27"/>
      <c r="R84" s="20"/>
    </row>
    <row r="85" spans="1:38" s="7" customFormat="1" ht="15" customHeight="1">
      <c r="A85" s="74">
        <v>39</v>
      </c>
      <c r="B85" s="77" t="s">
        <v>69</v>
      </c>
      <c r="C85" s="74" t="s">
        <v>18</v>
      </c>
      <c r="D85" s="77"/>
      <c r="E85" s="77" t="s">
        <v>19</v>
      </c>
      <c r="F85" s="77" t="s">
        <v>292</v>
      </c>
      <c r="G85" s="77" t="s">
        <v>142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4"/>
        <v>0</v>
      </c>
      <c r="P85" s="27"/>
      <c r="Q85" s="27"/>
      <c r="R85" s="20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 spans="1:38" s="7" customFormat="1" ht="15.75" customHeight="1">
      <c r="A86" s="74">
        <v>40</v>
      </c>
      <c r="B86" s="77" t="s">
        <v>70</v>
      </c>
      <c r="C86" s="74" t="s">
        <v>18</v>
      </c>
      <c r="D86" s="77"/>
      <c r="E86" s="77" t="s">
        <v>19</v>
      </c>
      <c r="F86" s="77" t="s">
        <v>292</v>
      </c>
      <c r="G86" s="77" t="s">
        <v>142</v>
      </c>
      <c r="H86" s="25">
        <v>1</v>
      </c>
      <c r="I86" s="1">
        <v>1</v>
      </c>
      <c r="J86" s="26">
        <v>1</v>
      </c>
      <c r="K86" s="27">
        <f t="shared" si="3"/>
        <v>0</v>
      </c>
      <c r="L86" s="27"/>
      <c r="M86" s="27"/>
      <c r="N86" s="1">
        <v>3</v>
      </c>
      <c r="O86" s="27">
        <f t="shared" si="4"/>
        <v>0</v>
      </c>
      <c r="P86" s="27"/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ht="15" customHeight="1">
      <c r="A87" s="74">
        <v>41</v>
      </c>
      <c r="B87" s="77" t="s">
        <v>71</v>
      </c>
      <c r="C87" s="74" t="s">
        <v>18</v>
      </c>
      <c r="D87" s="77"/>
      <c r="E87" s="77" t="s">
        <v>32</v>
      </c>
      <c r="F87" s="77" t="s">
        <v>292</v>
      </c>
      <c r="G87" s="77" t="s">
        <v>121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4"/>
        <v>0</v>
      </c>
      <c r="P87" s="27"/>
      <c r="Q87" s="27"/>
      <c r="R87" s="20"/>
    </row>
    <row r="88" spans="1:38" ht="15" customHeight="1">
      <c r="A88" s="24"/>
      <c r="B88" s="23" t="s">
        <v>71</v>
      </c>
      <c r="C88" s="24" t="s">
        <v>18</v>
      </c>
      <c r="D88" s="23"/>
      <c r="E88" s="23" t="s">
        <v>32</v>
      </c>
      <c r="F88" s="23" t="s">
        <v>292</v>
      </c>
      <c r="G88" s="23" t="s">
        <v>122</v>
      </c>
      <c r="H88" s="25">
        <v>0</v>
      </c>
      <c r="I88" s="1"/>
      <c r="J88" s="26"/>
      <c r="K88" s="27">
        <f t="shared" si="3"/>
        <v>0</v>
      </c>
      <c r="L88" s="27"/>
      <c r="M88" s="27"/>
      <c r="N88" s="1"/>
      <c r="O88" s="27">
        <f t="shared" si="4"/>
        <v>0</v>
      </c>
      <c r="P88" s="27"/>
      <c r="Q88" s="27"/>
      <c r="R88" s="20"/>
    </row>
    <row r="89" spans="1:38" ht="15" customHeight="1">
      <c r="A89" s="24">
        <v>42</v>
      </c>
      <c r="B89" s="23" t="s">
        <v>72</v>
      </c>
      <c r="C89" s="24" t="s">
        <v>18</v>
      </c>
      <c r="D89" s="23"/>
      <c r="E89" s="23" t="s">
        <v>19</v>
      </c>
      <c r="F89" s="23" t="s">
        <v>268</v>
      </c>
      <c r="G89" s="23" t="s">
        <v>142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20"/>
    </row>
    <row r="90" spans="1:38" ht="15" customHeight="1">
      <c r="A90" s="24"/>
      <c r="B90" s="23" t="s">
        <v>72</v>
      </c>
      <c r="C90" s="24" t="s">
        <v>18</v>
      </c>
      <c r="D90" s="23"/>
      <c r="E90" s="23" t="s">
        <v>19</v>
      </c>
      <c r="F90" s="23" t="s">
        <v>292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43</v>
      </c>
      <c r="B91" s="23" t="s">
        <v>73</v>
      </c>
      <c r="C91" s="24" t="s">
        <v>18</v>
      </c>
      <c r="D91" s="23"/>
      <c r="E91" s="23" t="s">
        <v>19</v>
      </c>
      <c r="F91" s="23"/>
      <c r="G91" s="23" t="s">
        <v>142</v>
      </c>
      <c r="H91" s="25">
        <v>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7" customFormat="1" ht="15" customHeight="1">
      <c r="A92" s="24">
        <v>44</v>
      </c>
      <c r="B92" s="23" t="s">
        <v>74</v>
      </c>
      <c r="C92" s="24" t="s">
        <v>18</v>
      </c>
      <c r="D92" s="23"/>
      <c r="E92" s="23" t="s">
        <v>19</v>
      </c>
      <c r="F92" s="23" t="s">
        <v>120</v>
      </c>
      <c r="G92" s="23" t="s">
        <v>142</v>
      </c>
      <c r="H92" s="25">
        <v>2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ht="15" customHeight="1">
      <c r="A93" s="24">
        <v>45</v>
      </c>
      <c r="B93" s="23" t="s">
        <v>75</v>
      </c>
      <c r="C93" s="24" t="s">
        <v>18</v>
      </c>
      <c r="D93" s="23"/>
      <c r="E93" s="23" t="s">
        <v>76</v>
      </c>
      <c r="F93" s="23" t="s">
        <v>120</v>
      </c>
      <c r="G93" s="23" t="s">
        <v>142</v>
      </c>
      <c r="H93" s="25">
        <v>1</v>
      </c>
      <c r="I93" s="1"/>
      <c r="J93" s="26"/>
      <c r="K93" s="27">
        <f t="shared" si="3"/>
        <v>0</v>
      </c>
      <c r="L93" s="27"/>
      <c r="M93" s="27"/>
      <c r="N93" s="1">
        <v>6</v>
      </c>
      <c r="O93" s="27">
        <f>P93+Q93</f>
        <v>0</v>
      </c>
      <c r="P93" s="27"/>
      <c r="Q93" s="27"/>
      <c r="R93" s="20"/>
    </row>
    <row r="94" spans="1:38" ht="13.15" customHeight="1">
      <c r="A94" s="24"/>
      <c r="B94" s="23" t="s">
        <v>75</v>
      </c>
      <c r="C94" s="24" t="s">
        <v>18</v>
      </c>
      <c r="D94" s="23"/>
      <c r="E94" s="23" t="s">
        <v>76</v>
      </c>
      <c r="F94" s="23" t="s">
        <v>120</v>
      </c>
      <c r="G94" s="23" t="s">
        <v>131</v>
      </c>
      <c r="H94" s="25">
        <v>0</v>
      </c>
      <c r="I94" s="1"/>
      <c r="J94" s="26"/>
      <c r="K94" s="27">
        <f t="shared" si="3"/>
        <v>0</v>
      </c>
      <c r="L94" s="27"/>
      <c r="M94" s="27"/>
      <c r="N94" s="1">
        <v>5</v>
      </c>
      <c r="O94" s="27">
        <v>0</v>
      </c>
      <c r="P94" s="27"/>
      <c r="Q94" s="27"/>
      <c r="R94" s="20"/>
    </row>
    <row r="95" spans="1:38" ht="15" customHeight="1">
      <c r="A95" s="24"/>
      <c r="B95" s="23" t="s">
        <v>140</v>
      </c>
      <c r="C95" s="24" t="s">
        <v>18</v>
      </c>
      <c r="D95" s="23"/>
      <c r="E95" s="23" t="s">
        <v>76</v>
      </c>
      <c r="F95" s="23" t="s">
        <v>120</v>
      </c>
      <c r="G95" s="23" t="s">
        <v>136</v>
      </c>
      <c r="H95" s="25">
        <v>0</v>
      </c>
      <c r="I95" s="2"/>
      <c r="J95" s="26"/>
      <c r="K95" s="27">
        <f t="shared" si="3"/>
        <v>0</v>
      </c>
      <c r="L95" s="27"/>
      <c r="M95" s="27"/>
      <c r="N95" s="2"/>
      <c r="O95" s="27">
        <f>P95+Q95</f>
        <v>0</v>
      </c>
      <c r="P95" s="27"/>
      <c r="Q95" s="27"/>
      <c r="R95" s="20"/>
    </row>
    <row r="96" spans="1:38" s="17" customFormat="1" ht="15" customHeight="1">
      <c r="A96" s="24">
        <v>46</v>
      </c>
      <c r="B96" s="23" t="s">
        <v>267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2"/>
      <c r="J96" s="26"/>
      <c r="K96" s="27">
        <f t="shared" si="3"/>
        <v>0</v>
      </c>
      <c r="L96" s="27"/>
      <c r="M96" s="27"/>
      <c r="N96" s="2"/>
      <c r="O96" s="27">
        <f>P96+Q96</f>
        <v>0</v>
      </c>
      <c r="P96" s="27"/>
      <c r="Q96" s="27"/>
      <c r="R96" s="20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:38" s="17" customFormat="1" ht="15" customHeight="1">
      <c r="A97" s="24"/>
      <c r="B97" s="23" t="s">
        <v>267</v>
      </c>
      <c r="C97" s="24" t="s">
        <v>18</v>
      </c>
      <c r="D97" s="23"/>
      <c r="E97" s="23" t="s">
        <v>19</v>
      </c>
      <c r="F97" s="23" t="s">
        <v>120</v>
      </c>
      <c r="G97" s="23" t="s">
        <v>131</v>
      </c>
      <c r="H97" s="25">
        <v>1</v>
      </c>
      <c r="I97" s="2"/>
      <c r="J97" s="26"/>
      <c r="K97" s="27">
        <f t="shared" si="3"/>
        <v>0</v>
      </c>
      <c r="L97" s="27"/>
      <c r="M97" s="27"/>
      <c r="N97" s="2"/>
      <c r="O97" s="27"/>
      <c r="P97" s="27"/>
      <c r="Q97" s="27"/>
      <c r="R97" s="20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:38" ht="15" customHeight="1">
      <c r="A98" s="24"/>
      <c r="B98" s="23" t="s">
        <v>267</v>
      </c>
      <c r="C98" s="24" t="s">
        <v>18</v>
      </c>
      <c r="D98" s="23"/>
      <c r="E98" s="23" t="s">
        <v>19</v>
      </c>
      <c r="F98" s="23" t="s">
        <v>123</v>
      </c>
      <c r="G98" s="23" t="s">
        <v>122</v>
      </c>
      <c r="H98" s="25">
        <v>0</v>
      </c>
      <c r="I98" s="2"/>
      <c r="J98" s="26"/>
      <c r="K98" s="27">
        <f t="shared" si="3"/>
        <v>0</v>
      </c>
      <c r="L98" s="27"/>
      <c r="M98" s="27"/>
      <c r="N98" s="2"/>
      <c r="O98" s="27"/>
      <c r="P98" s="27"/>
      <c r="Q98" s="27"/>
      <c r="R98" s="20"/>
    </row>
    <row r="99" spans="1:38" ht="30.75" customHeight="1">
      <c r="A99" s="24">
        <v>47</v>
      </c>
      <c r="B99" s="23" t="s">
        <v>78</v>
      </c>
      <c r="C99" s="24" t="s">
        <v>18</v>
      </c>
      <c r="D99" s="23" t="s">
        <v>276</v>
      </c>
      <c r="E99" s="23" t="s">
        <v>19</v>
      </c>
      <c r="F99" s="23" t="s">
        <v>123</v>
      </c>
      <c r="G99" s="23" t="s">
        <v>142</v>
      </c>
      <c r="H99" s="25">
        <v>6</v>
      </c>
      <c r="I99" s="1">
        <v>2</v>
      </c>
      <c r="J99" s="26">
        <v>2</v>
      </c>
      <c r="K99" s="27">
        <f t="shared" si="3"/>
        <v>0</v>
      </c>
      <c r="L99" s="27"/>
      <c r="M99" s="27"/>
      <c r="N99" s="1">
        <v>1</v>
      </c>
      <c r="O99" s="27">
        <f t="shared" si="4"/>
        <v>0</v>
      </c>
      <c r="P99" s="27"/>
      <c r="Q99" s="27"/>
      <c r="R99" s="20"/>
    </row>
    <row r="100" spans="1:38" s="7" customFormat="1" ht="15" customHeight="1">
      <c r="A100" s="24"/>
      <c r="B100" s="23" t="s">
        <v>78</v>
      </c>
      <c r="C100" s="24" t="s">
        <v>18</v>
      </c>
      <c r="D100" s="23"/>
      <c r="E100" s="23" t="s">
        <v>19</v>
      </c>
      <c r="F100" s="23" t="s">
        <v>120</v>
      </c>
      <c r="G100" s="23" t="s">
        <v>131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ht="15" customHeight="1">
      <c r="A101" s="24"/>
      <c r="B101" s="23" t="s">
        <v>78</v>
      </c>
      <c r="C101" s="24" t="s">
        <v>18</v>
      </c>
      <c r="D101" s="23"/>
      <c r="E101" s="23" t="s">
        <v>19</v>
      </c>
      <c r="F101" s="23" t="s">
        <v>120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ht="15" customHeight="1">
      <c r="A102" s="24">
        <v>48</v>
      </c>
      <c r="B102" s="23" t="s">
        <v>79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49</v>
      </c>
      <c r="B103" s="23" t="s">
        <v>80</v>
      </c>
      <c r="C103" s="24" t="s">
        <v>18</v>
      </c>
      <c r="D103" s="23"/>
      <c r="E103" s="23" t="s">
        <v>19</v>
      </c>
      <c r="F103" s="23" t="s">
        <v>120</v>
      </c>
      <c r="G103" s="23" t="s">
        <v>142</v>
      </c>
      <c r="H103" s="25">
        <v>4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/>
      <c r="B104" s="23" t="s">
        <v>80</v>
      </c>
      <c r="C104" s="24" t="s">
        <v>18</v>
      </c>
      <c r="D104" s="23"/>
      <c r="E104" s="23" t="s">
        <v>19</v>
      </c>
      <c r="F104" s="23" t="s">
        <v>120</v>
      </c>
      <c r="G104" s="23" t="s">
        <v>122</v>
      </c>
      <c r="H104" s="25">
        <v>0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50</v>
      </c>
      <c r="B105" s="23" t="s">
        <v>81</v>
      </c>
      <c r="C105" s="24" t="s">
        <v>18</v>
      </c>
      <c r="D105" s="23"/>
      <c r="E105" s="23" t="s">
        <v>19</v>
      </c>
      <c r="F105" s="23" t="s">
        <v>120</v>
      </c>
      <c r="G105" s="23" t="s">
        <v>142</v>
      </c>
      <c r="H105" s="25">
        <v>0</v>
      </c>
      <c r="I105" s="1"/>
      <c r="J105" s="26"/>
      <c r="K105" s="27">
        <f t="shared" si="3"/>
        <v>0</v>
      </c>
      <c r="L105" s="27"/>
      <c r="M105" s="27"/>
      <c r="N105" s="1"/>
      <c r="O105" s="27">
        <f t="shared" si="4"/>
        <v>0</v>
      </c>
      <c r="P105" s="27"/>
      <c r="Q105" s="27"/>
      <c r="R105" s="20"/>
    </row>
    <row r="106" spans="1:38" ht="15" customHeight="1">
      <c r="A106" s="24"/>
      <c r="B106" s="23" t="s">
        <v>81</v>
      </c>
      <c r="C106" s="24" t="s">
        <v>18</v>
      </c>
      <c r="D106" s="23"/>
      <c r="E106" s="23" t="s">
        <v>19</v>
      </c>
      <c r="F106" s="23" t="s">
        <v>292</v>
      </c>
      <c r="G106" s="23" t="s">
        <v>122</v>
      </c>
      <c r="H106" s="25">
        <v>0</v>
      </c>
      <c r="I106" s="1"/>
      <c r="J106" s="26"/>
      <c r="K106" s="27"/>
      <c r="L106" s="27"/>
      <c r="M106" s="27"/>
      <c r="N106" s="1"/>
      <c r="O106" s="27"/>
      <c r="P106" s="27"/>
      <c r="Q106" s="27"/>
      <c r="R106" s="20"/>
    </row>
    <row r="107" spans="1:38" s="7" customFormat="1" ht="15" customHeight="1">
      <c r="A107" s="24">
        <v>51</v>
      </c>
      <c r="B107" s="23" t="s">
        <v>82</v>
      </c>
      <c r="C107" s="24" t="s">
        <v>18</v>
      </c>
      <c r="D107" s="23"/>
      <c r="E107" s="23" t="s">
        <v>19</v>
      </c>
      <c r="F107" s="23" t="s">
        <v>295</v>
      </c>
      <c r="G107" s="23" t="s">
        <v>142</v>
      </c>
      <c r="H107" s="25">
        <v>3</v>
      </c>
      <c r="I107" s="1">
        <v>2</v>
      </c>
      <c r="J107" s="26">
        <v>2</v>
      </c>
      <c r="K107" s="27">
        <f t="shared" si="3"/>
        <v>0</v>
      </c>
      <c r="L107" s="27"/>
      <c r="M107" s="27"/>
      <c r="N107" s="1"/>
      <c r="O107" s="27">
        <f t="shared" si="4"/>
        <v>0</v>
      </c>
      <c r="P107" s="27"/>
      <c r="Q107" s="27"/>
      <c r="R107" s="20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 spans="1:38" s="7" customFormat="1" ht="15" customHeight="1">
      <c r="A108" s="24"/>
      <c r="B108" s="23" t="s">
        <v>82</v>
      </c>
      <c r="C108" s="24" t="s">
        <v>18</v>
      </c>
      <c r="D108" s="23"/>
      <c r="E108" s="23" t="s">
        <v>19</v>
      </c>
      <c r="F108" s="23" t="s">
        <v>295</v>
      </c>
      <c r="G108" s="23" t="s">
        <v>122</v>
      </c>
      <c r="H108" s="25">
        <v>0</v>
      </c>
      <c r="I108" s="1"/>
      <c r="J108" s="26"/>
      <c r="K108" s="27">
        <f t="shared" si="3"/>
        <v>0</v>
      </c>
      <c r="L108" s="27"/>
      <c r="M108" s="27"/>
      <c r="N108" s="1"/>
      <c r="O108" s="27">
        <f t="shared" si="4"/>
        <v>0</v>
      </c>
      <c r="P108" s="27"/>
      <c r="Q108" s="27"/>
      <c r="R108" s="20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 spans="1:38" ht="14.45" customHeight="1">
      <c r="A109" s="24">
        <v>52</v>
      </c>
      <c r="B109" s="23" t="s">
        <v>83</v>
      </c>
      <c r="C109" s="24" t="s">
        <v>30</v>
      </c>
      <c r="D109" s="23" t="s">
        <v>184</v>
      </c>
      <c r="E109" s="23" t="s">
        <v>19</v>
      </c>
      <c r="F109" s="23" t="s">
        <v>123</v>
      </c>
      <c r="G109" s="23" t="s">
        <v>142</v>
      </c>
      <c r="H109" s="25">
        <v>10</v>
      </c>
      <c r="I109" s="1">
        <v>5</v>
      </c>
      <c r="J109" s="26">
        <v>5</v>
      </c>
      <c r="K109" s="27">
        <f t="shared" si="3"/>
        <v>0</v>
      </c>
      <c r="L109" s="27"/>
      <c r="M109" s="27"/>
      <c r="N109" s="1"/>
      <c r="O109" s="27">
        <f t="shared" si="4"/>
        <v>0</v>
      </c>
      <c r="P109" s="27"/>
      <c r="Q109" s="27"/>
      <c r="R109" s="20"/>
    </row>
    <row r="110" spans="1:38" ht="14.45" customHeight="1">
      <c r="A110" s="24">
        <v>53</v>
      </c>
      <c r="B110" s="23" t="s">
        <v>303</v>
      </c>
      <c r="C110" s="24" t="s">
        <v>18</v>
      </c>
      <c r="D110" s="23"/>
      <c r="E110" s="23" t="s">
        <v>304</v>
      </c>
      <c r="F110" s="23"/>
      <c r="G110" s="23" t="s">
        <v>131</v>
      </c>
      <c r="H110" s="25">
        <v>3</v>
      </c>
      <c r="I110" s="1"/>
      <c r="J110" s="26"/>
      <c r="K110" s="27"/>
      <c r="L110" s="27"/>
      <c r="M110" s="27"/>
      <c r="N110" s="1"/>
      <c r="O110" s="27"/>
      <c r="P110" s="27"/>
      <c r="Q110" s="27"/>
      <c r="R110" s="20"/>
    </row>
    <row r="111" spans="1:38" s="7" customFormat="1" ht="15" customHeight="1">
      <c r="A111" s="24">
        <v>54</v>
      </c>
      <c r="B111" s="23" t="s">
        <v>84</v>
      </c>
      <c r="C111" s="24" t="s">
        <v>18</v>
      </c>
      <c r="D111" s="23"/>
      <c r="E111" s="23" t="s">
        <v>19</v>
      </c>
      <c r="F111" s="23" t="s">
        <v>123</v>
      </c>
      <c r="G111" s="23" t="s">
        <v>142</v>
      </c>
      <c r="H111" s="25">
        <v>2</v>
      </c>
      <c r="I111" s="1"/>
      <c r="J111" s="26"/>
      <c r="K111" s="27">
        <f t="shared" si="3"/>
        <v>0</v>
      </c>
      <c r="L111" s="27"/>
      <c r="M111" s="27"/>
      <c r="N111" s="1">
        <v>5</v>
      </c>
      <c r="O111" s="27">
        <f t="shared" si="4"/>
        <v>0</v>
      </c>
      <c r="P111" s="27"/>
      <c r="Q111" s="27"/>
      <c r="R111" s="20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</row>
    <row r="112" spans="1:38" ht="15" customHeight="1">
      <c r="A112" s="24"/>
      <c r="B112" s="23" t="s">
        <v>84</v>
      </c>
      <c r="C112" s="24" t="s">
        <v>18</v>
      </c>
      <c r="D112" s="23"/>
      <c r="E112" s="23" t="s">
        <v>19</v>
      </c>
      <c r="F112" s="23" t="s">
        <v>123</v>
      </c>
      <c r="G112" s="23" t="s">
        <v>122</v>
      </c>
      <c r="H112" s="25">
        <v>0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20"/>
    </row>
    <row r="113" spans="1:38" ht="15" customHeight="1">
      <c r="A113" s="24">
        <v>55</v>
      </c>
      <c r="B113" s="23" t="s">
        <v>85</v>
      </c>
      <c r="C113" s="24" t="s">
        <v>18</v>
      </c>
      <c r="D113" s="23"/>
      <c r="E113" s="23" t="s">
        <v>77</v>
      </c>
      <c r="F113" s="23" t="s">
        <v>120</v>
      </c>
      <c r="G113" s="23" t="s">
        <v>142</v>
      </c>
      <c r="H113" s="25">
        <v>4</v>
      </c>
      <c r="I113" s="1"/>
      <c r="J113" s="26"/>
      <c r="K113" s="27">
        <f t="shared" si="3"/>
        <v>0</v>
      </c>
      <c r="L113" s="27"/>
      <c r="M113" s="27"/>
      <c r="N113" s="1">
        <v>7</v>
      </c>
      <c r="O113" s="27">
        <f t="shared" si="4"/>
        <v>0</v>
      </c>
      <c r="P113" s="27"/>
      <c r="Q113" s="27"/>
      <c r="R113" s="20"/>
    </row>
    <row r="114" spans="1:38" ht="15" customHeight="1">
      <c r="A114" s="24"/>
      <c r="B114" s="23" t="s">
        <v>85</v>
      </c>
      <c r="C114" s="24" t="s">
        <v>18</v>
      </c>
      <c r="D114" s="23"/>
      <c r="E114" s="23" t="s">
        <v>301</v>
      </c>
      <c r="F114" s="23" t="s">
        <v>123</v>
      </c>
      <c r="G114" s="23" t="s">
        <v>131</v>
      </c>
      <c r="H114" s="25">
        <v>2</v>
      </c>
      <c r="I114" s="1"/>
      <c r="J114" s="26"/>
      <c r="K114" s="27">
        <f t="shared" si="3"/>
        <v>0</v>
      </c>
      <c r="L114" s="27"/>
      <c r="M114" s="27"/>
      <c r="N114" s="1">
        <v>2</v>
      </c>
      <c r="O114" s="27">
        <f t="shared" si="4"/>
        <v>0</v>
      </c>
      <c r="P114" s="27"/>
      <c r="Q114" s="27"/>
      <c r="R114" s="20"/>
    </row>
    <row r="115" spans="1:38" ht="15" customHeight="1">
      <c r="A115" s="24">
        <v>56</v>
      </c>
      <c r="B115" s="23" t="s">
        <v>86</v>
      </c>
      <c r="C115" s="24" t="s">
        <v>18</v>
      </c>
      <c r="D115" s="23"/>
      <c r="E115" s="23" t="s">
        <v>77</v>
      </c>
      <c r="F115" s="23" t="s">
        <v>295</v>
      </c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>
        <v>1</v>
      </c>
      <c r="O115" s="27">
        <f t="shared" si="4"/>
        <v>0</v>
      </c>
      <c r="P115" s="27"/>
      <c r="Q115" s="27"/>
      <c r="R115" s="20"/>
    </row>
    <row r="116" spans="1:38" ht="15" customHeight="1">
      <c r="A116" s="24"/>
      <c r="B116" s="23" t="s">
        <v>86</v>
      </c>
      <c r="C116" s="24" t="s">
        <v>18</v>
      </c>
      <c r="D116" s="23"/>
      <c r="E116" s="23" t="s">
        <v>301</v>
      </c>
      <c r="F116" s="23" t="s">
        <v>120</v>
      </c>
      <c r="G116" s="23" t="s">
        <v>131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28.9" customHeight="1">
      <c r="A117" s="29">
        <v>57</v>
      </c>
      <c r="B117" s="30" t="s">
        <v>87</v>
      </c>
      <c r="C117" s="29" t="s">
        <v>52</v>
      </c>
      <c r="D117" s="30" t="s">
        <v>88</v>
      </c>
      <c r="E117" s="30" t="s">
        <v>19</v>
      </c>
      <c r="F117" s="30" t="s">
        <v>292</v>
      </c>
      <c r="G117" s="30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29.25" customHeight="1">
      <c r="A118" s="29"/>
      <c r="B118" s="30" t="s">
        <v>87</v>
      </c>
      <c r="C118" s="29" t="s">
        <v>52</v>
      </c>
      <c r="D118" s="30" t="s">
        <v>88</v>
      </c>
      <c r="E118" s="30" t="s">
        <v>19</v>
      </c>
      <c r="F118" s="30" t="s">
        <v>123</v>
      </c>
      <c r="G118" s="30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ht="26.25" customHeight="1">
      <c r="A119" s="24">
        <v>58</v>
      </c>
      <c r="B119" s="23" t="s">
        <v>89</v>
      </c>
      <c r="C119" s="24" t="s">
        <v>18</v>
      </c>
      <c r="D119" s="23"/>
      <c r="E119" s="23" t="s">
        <v>19</v>
      </c>
      <c r="F119" s="23" t="s">
        <v>292</v>
      </c>
      <c r="G119" s="23" t="s">
        <v>142</v>
      </c>
      <c r="H119" s="25">
        <v>1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s="7" customFormat="1" ht="15" customHeight="1">
      <c r="A120" s="24"/>
      <c r="B120" s="23" t="s">
        <v>89</v>
      </c>
      <c r="C120" s="24" t="s">
        <v>18</v>
      </c>
      <c r="D120" s="23"/>
      <c r="E120" s="23" t="s">
        <v>19</v>
      </c>
      <c r="F120" s="23" t="s">
        <v>120</v>
      </c>
      <c r="G120" s="23" t="s">
        <v>122</v>
      </c>
      <c r="H120" s="25">
        <v>1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ht="15" customHeight="1">
      <c r="A121" s="24">
        <v>59</v>
      </c>
      <c r="B121" s="23" t="s">
        <v>90</v>
      </c>
      <c r="C121" s="24" t="s">
        <v>18</v>
      </c>
      <c r="D121" s="23"/>
      <c r="E121" s="23" t="s">
        <v>19</v>
      </c>
      <c r="F121" s="23" t="s">
        <v>292</v>
      </c>
      <c r="G121" s="23" t="s">
        <v>142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>
        <v>1</v>
      </c>
      <c r="O121" s="27">
        <f t="shared" si="4"/>
        <v>0</v>
      </c>
      <c r="P121" s="27"/>
      <c r="Q121" s="27"/>
      <c r="R121" s="20"/>
    </row>
    <row r="122" spans="1:38" s="7" customFormat="1" ht="15" customHeight="1">
      <c r="A122" s="24">
        <v>60</v>
      </c>
      <c r="B122" s="23" t="s">
        <v>91</v>
      </c>
      <c r="C122" s="24" t="s">
        <v>18</v>
      </c>
      <c r="D122" s="23"/>
      <c r="E122" s="23" t="s">
        <v>92</v>
      </c>
      <c r="F122" s="23" t="s">
        <v>292</v>
      </c>
      <c r="G122" s="23" t="s">
        <v>142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/>
      <c r="B123" s="23" t="s">
        <v>91</v>
      </c>
      <c r="C123" s="24" t="s">
        <v>18</v>
      </c>
      <c r="D123" s="23"/>
      <c r="E123" s="23" t="s">
        <v>92</v>
      </c>
      <c r="F123" s="23" t="s">
        <v>123</v>
      </c>
      <c r="G123" s="23" t="s">
        <v>136</v>
      </c>
      <c r="H123" s="25">
        <v>0</v>
      </c>
      <c r="I123" s="2"/>
      <c r="J123" s="26"/>
      <c r="K123" s="27">
        <f t="shared" si="3"/>
        <v>0</v>
      </c>
      <c r="L123" s="27"/>
      <c r="M123" s="27"/>
      <c r="N123" s="2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93</v>
      </c>
      <c r="C124" s="24" t="s">
        <v>18</v>
      </c>
      <c r="D124" s="23"/>
      <c r="E124" s="23" t="s">
        <v>19</v>
      </c>
      <c r="F124" s="23" t="s">
        <v>123</v>
      </c>
      <c r="G124" s="23" t="s">
        <v>142</v>
      </c>
      <c r="H124" s="25">
        <v>0</v>
      </c>
      <c r="I124" s="2"/>
      <c r="J124" s="26"/>
      <c r="K124" s="27">
        <f t="shared" si="3"/>
        <v>0</v>
      </c>
      <c r="L124" s="27"/>
      <c r="M124" s="27"/>
      <c r="N124" s="2">
        <v>1</v>
      </c>
      <c r="O124" s="27">
        <f t="shared" si="4"/>
        <v>0</v>
      </c>
      <c r="P124" s="27"/>
      <c r="Q124" s="27"/>
      <c r="R124" s="20"/>
    </row>
    <row r="125" spans="1:38" s="17" customFormat="1" ht="15" customHeight="1">
      <c r="A125" s="24"/>
      <c r="B125" s="23" t="s">
        <v>93</v>
      </c>
      <c r="C125" s="24" t="s">
        <v>18</v>
      </c>
      <c r="D125" s="23"/>
      <c r="E125" s="23" t="s">
        <v>19</v>
      </c>
      <c r="F125" s="23" t="s">
        <v>120</v>
      </c>
      <c r="G125" s="23" t="s">
        <v>131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</row>
    <row r="126" spans="1:38" ht="15" customHeight="1">
      <c r="A126" s="24"/>
      <c r="B126" s="23" t="s">
        <v>93</v>
      </c>
      <c r="C126" s="24" t="s">
        <v>18</v>
      </c>
      <c r="D126" s="23"/>
      <c r="E126" s="23"/>
      <c r="F126" s="23" t="s">
        <v>268</v>
      </c>
      <c r="G126" s="23" t="s">
        <v>122</v>
      </c>
      <c r="H126" s="25">
        <v>1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</row>
    <row r="127" spans="1:38" ht="15" customHeight="1">
      <c r="A127" s="24">
        <v>62</v>
      </c>
      <c r="B127" s="23" t="s">
        <v>281</v>
      </c>
      <c r="C127" s="24" t="s">
        <v>18</v>
      </c>
      <c r="D127" s="23"/>
      <c r="E127" s="23" t="s">
        <v>19</v>
      </c>
      <c r="F127" s="23" t="s">
        <v>123</v>
      </c>
      <c r="G127" s="23" t="s">
        <v>142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ht="15" customHeight="1">
      <c r="A128" s="24"/>
      <c r="B128" s="23" t="s">
        <v>281</v>
      </c>
      <c r="C128" s="24" t="s">
        <v>18</v>
      </c>
      <c r="D128" s="23"/>
      <c r="E128" s="23" t="s">
        <v>19</v>
      </c>
      <c r="F128" s="23" t="s">
        <v>285</v>
      </c>
      <c r="G128" s="23" t="s">
        <v>131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>
        <v>1</v>
      </c>
      <c r="O128" s="27"/>
      <c r="P128" s="27"/>
      <c r="Q128" s="27"/>
      <c r="R128" s="20"/>
    </row>
    <row r="129" spans="1:38" ht="15" customHeight="1">
      <c r="A129" s="24"/>
      <c r="B129" s="23" t="s">
        <v>281</v>
      </c>
      <c r="C129" s="24" t="s">
        <v>18</v>
      </c>
      <c r="D129" s="23"/>
      <c r="E129" s="23" t="s">
        <v>19</v>
      </c>
      <c r="F129" s="23" t="s">
        <v>120</v>
      </c>
      <c r="G129" s="23" t="s">
        <v>122</v>
      </c>
      <c r="H129" s="25">
        <v>4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63</v>
      </c>
      <c r="B130" s="23" t="s">
        <v>94</v>
      </c>
      <c r="C130" s="24" t="s">
        <v>18</v>
      </c>
      <c r="D130" s="23"/>
      <c r="E130" s="23" t="s">
        <v>95</v>
      </c>
      <c r="F130" s="23" t="s">
        <v>292</v>
      </c>
      <c r="G130" s="23" t="s">
        <v>142</v>
      </c>
      <c r="H130" s="25">
        <v>4</v>
      </c>
      <c r="I130" s="1">
        <v>1</v>
      </c>
      <c r="J130" s="26">
        <v>1</v>
      </c>
      <c r="K130" s="27">
        <f t="shared" si="3"/>
        <v>0</v>
      </c>
      <c r="L130" s="27"/>
      <c r="M130" s="27"/>
      <c r="N130" s="1">
        <v>5</v>
      </c>
      <c r="O130" s="27">
        <f t="shared" si="4"/>
        <v>0</v>
      </c>
      <c r="P130" s="27"/>
      <c r="Q130" s="27"/>
      <c r="R130" s="20"/>
    </row>
    <row r="131" spans="1:38" s="7" customFormat="1" ht="15" customHeight="1">
      <c r="A131" s="24"/>
      <c r="B131" s="23" t="s">
        <v>128</v>
      </c>
      <c r="C131" s="24" t="s">
        <v>18</v>
      </c>
      <c r="D131" s="23"/>
      <c r="E131" s="23" t="s">
        <v>95</v>
      </c>
      <c r="F131" s="23" t="s">
        <v>123</v>
      </c>
      <c r="G131" s="23" t="s">
        <v>124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 spans="1:38" ht="15" customHeight="1">
      <c r="A132" s="24"/>
      <c r="B132" s="23" t="s">
        <v>128</v>
      </c>
      <c r="C132" s="24" t="s">
        <v>18</v>
      </c>
      <c r="D132" s="23"/>
      <c r="E132" s="23" t="s">
        <v>95</v>
      </c>
      <c r="F132" s="23" t="s">
        <v>123</v>
      </c>
      <c r="G132" s="23" t="s">
        <v>131</v>
      </c>
      <c r="H132" s="25">
        <v>0</v>
      </c>
      <c r="I132" s="2"/>
      <c r="J132" s="26"/>
      <c r="K132" s="27">
        <f t="shared" si="3"/>
        <v>0</v>
      </c>
      <c r="L132" s="27"/>
      <c r="M132" s="27"/>
      <c r="N132" s="2"/>
      <c r="O132" s="27">
        <f t="shared" si="4"/>
        <v>0</v>
      </c>
      <c r="P132" s="27"/>
      <c r="Q132" s="27"/>
      <c r="R132" s="20"/>
    </row>
    <row r="133" spans="1:38" ht="15" customHeight="1">
      <c r="A133" s="24">
        <v>64</v>
      </c>
      <c r="B133" s="23" t="s">
        <v>96</v>
      </c>
      <c r="C133" s="24" t="s">
        <v>18</v>
      </c>
      <c r="D133" s="23"/>
      <c r="E133" s="23" t="s">
        <v>19</v>
      </c>
      <c r="F133" s="23" t="s">
        <v>120</v>
      </c>
      <c r="G133" s="23" t="s">
        <v>142</v>
      </c>
      <c r="H133" s="25">
        <v>3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15" customHeight="1">
      <c r="A134" s="24"/>
      <c r="B134" s="23" t="s">
        <v>96</v>
      </c>
      <c r="C134" s="24" t="s">
        <v>18</v>
      </c>
      <c r="D134" s="23"/>
      <c r="E134" s="23" t="s">
        <v>19</v>
      </c>
      <c r="F134" s="23" t="s">
        <v>292</v>
      </c>
      <c r="G134" s="23" t="s">
        <v>131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/>
      <c r="O134" s="27">
        <f t="shared" si="4"/>
        <v>0</v>
      </c>
      <c r="P134" s="27"/>
      <c r="Q134" s="27"/>
      <c r="R134" s="20"/>
    </row>
    <row r="135" spans="1:38" ht="15" customHeight="1">
      <c r="A135" s="24"/>
      <c r="B135" s="23" t="s">
        <v>96</v>
      </c>
      <c r="C135" s="24" t="s">
        <v>18</v>
      </c>
      <c r="D135" s="23"/>
      <c r="E135" s="23" t="s">
        <v>19</v>
      </c>
      <c r="F135" s="23" t="s">
        <v>292</v>
      </c>
      <c r="G135" s="23" t="s">
        <v>122</v>
      </c>
      <c r="H135" s="25">
        <v>2</v>
      </c>
      <c r="I135" s="1"/>
      <c r="J135" s="26"/>
      <c r="K135" s="27">
        <f t="shared" si="3"/>
        <v>0</v>
      </c>
      <c r="L135" s="27"/>
      <c r="M135" s="27"/>
      <c r="N135" s="1"/>
      <c r="O135" s="27">
        <f t="shared" si="4"/>
        <v>0</v>
      </c>
      <c r="P135" s="27"/>
      <c r="Q135" s="27"/>
      <c r="R135" s="20"/>
    </row>
    <row r="136" spans="1:38" ht="15" customHeight="1">
      <c r="A136" s="24"/>
      <c r="B136" s="23" t="s">
        <v>96</v>
      </c>
      <c r="C136" s="24" t="s">
        <v>18</v>
      </c>
      <c r="D136" s="23"/>
      <c r="E136" s="22" t="s">
        <v>19</v>
      </c>
      <c r="F136" s="23" t="s">
        <v>292</v>
      </c>
      <c r="G136" s="22" t="s">
        <v>136</v>
      </c>
      <c r="H136" s="45">
        <v>0</v>
      </c>
      <c r="I136" s="1"/>
      <c r="J136" s="26"/>
      <c r="K136" s="27">
        <f t="shared" si="3"/>
        <v>0</v>
      </c>
      <c r="L136" s="27"/>
      <c r="M136" s="27"/>
      <c r="N136" s="1"/>
      <c r="O136" s="27">
        <f t="shared" si="4"/>
        <v>0</v>
      </c>
      <c r="P136" s="27"/>
      <c r="Q136" s="27"/>
      <c r="R136" s="20"/>
    </row>
    <row r="137" spans="1:38" ht="15" customHeight="1">
      <c r="A137" s="24">
        <v>65</v>
      </c>
      <c r="B137" s="23" t="s">
        <v>97</v>
      </c>
      <c r="C137" s="24" t="s">
        <v>18</v>
      </c>
      <c r="D137" s="23"/>
      <c r="E137" s="23" t="s">
        <v>19</v>
      </c>
      <c r="F137" s="23" t="s">
        <v>120</v>
      </c>
      <c r="G137" s="23" t="s">
        <v>142</v>
      </c>
      <c r="H137" s="25">
        <v>2</v>
      </c>
      <c r="I137" s="1"/>
      <c r="J137" s="26"/>
      <c r="K137" s="27">
        <f t="shared" si="3"/>
        <v>0</v>
      </c>
      <c r="L137" s="27"/>
      <c r="M137" s="27"/>
      <c r="N137" s="1"/>
      <c r="O137" s="27">
        <f t="shared" si="4"/>
        <v>0</v>
      </c>
      <c r="P137" s="27"/>
      <c r="Q137" s="27"/>
      <c r="R137" s="20"/>
    </row>
    <row r="138" spans="1:38" ht="15" customHeight="1">
      <c r="A138" s="24">
        <v>66</v>
      </c>
      <c r="B138" s="23" t="s">
        <v>98</v>
      </c>
      <c r="C138" s="24" t="s">
        <v>18</v>
      </c>
      <c r="D138" s="23"/>
      <c r="E138" s="23" t="s">
        <v>19</v>
      </c>
      <c r="F138" s="23" t="s">
        <v>120</v>
      </c>
      <c r="G138" s="23" t="s">
        <v>142</v>
      </c>
      <c r="H138" s="25">
        <v>1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20"/>
    </row>
    <row r="139" spans="1:38" ht="15" customHeight="1">
      <c r="A139" s="24">
        <v>67</v>
      </c>
      <c r="B139" s="23" t="s">
        <v>99</v>
      </c>
      <c r="C139" s="24" t="s">
        <v>18</v>
      </c>
      <c r="D139" s="23"/>
      <c r="E139" s="23" t="s">
        <v>19</v>
      </c>
      <c r="F139" s="23" t="s">
        <v>120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/>
      <c r="O139" s="27">
        <f t="shared" si="4"/>
        <v>0</v>
      </c>
      <c r="P139" s="27"/>
      <c r="Q139" s="27"/>
      <c r="R139" s="20"/>
    </row>
    <row r="140" spans="1:38" ht="24.6" customHeight="1">
      <c r="A140" s="29">
        <v>68</v>
      </c>
      <c r="B140" s="30" t="s">
        <v>100</v>
      </c>
      <c r="C140" s="29" t="s">
        <v>30</v>
      </c>
      <c r="D140" s="30" t="s">
        <v>101</v>
      </c>
      <c r="E140" s="30" t="s">
        <v>19</v>
      </c>
      <c r="F140" s="23" t="s">
        <v>120</v>
      </c>
      <c r="G140" s="30" t="s">
        <v>142</v>
      </c>
      <c r="H140" s="25">
        <v>0</v>
      </c>
      <c r="I140" s="1"/>
      <c r="J140" s="26"/>
      <c r="K140" s="27">
        <f t="shared" si="3"/>
        <v>0</v>
      </c>
      <c r="L140" s="27"/>
      <c r="M140" s="27"/>
      <c r="N140" s="1"/>
      <c r="O140" s="27">
        <f t="shared" si="4"/>
        <v>0</v>
      </c>
      <c r="P140" s="27"/>
      <c r="Q140" s="27"/>
      <c r="R140" s="20"/>
    </row>
    <row r="141" spans="1:38" s="7" customFormat="1" ht="29.25" customHeight="1">
      <c r="A141" s="29"/>
      <c r="B141" s="30" t="s">
        <v>100</v>
      </c>
      <c r="C141" s="29" t="s">
        <v>30</v>
      </c>
      <c r="D141" s="30" t="s">
        <v>101</v>
      </c>
      <c r="E141" s="30" t="s">
        <v>19</v>
      </c>
      <c r="F141" s="30" t="s">
        <v>292</v>
      </c>
      <c r="G141" s="30" t="s">
        <v>122</v>
      </c>
      <c r="H141" s="25">
        <v>0</v>
      </c>
      <c r="I141" s="1"/>
      <c r="J141" s="26"/>
      <c r="K141" s="27">
        <f t="shared" si="3"/>
        <v>0</v>
      </c>
      <c r="L141" s="27"/>
      <c r="M141" s="27"/>
      <c r="N141" s="1"/>
      <c r="O141" s="27">
        <f t="shared" si="4"/>
        <v>0</v>
      </c>
      <c r="P141" s="27"/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ht="26.25" customHeight="1">
      <c r="A142" s="46">
        <v>69</v>
      </c>
      <c r="B142" s="60" t="s">
        <v>144</v>
      </c>
      <c r="C142" s="46" t="s">
        <v>18</v>
      </c>
      <c r="D142" s="60"/>
      <c r="E142" s="60" t="s">
        <v>104</v>
      </c>
      <c r="F142" s="60" t="s">
        <v>120</v>
      </c>
      <c r="G142" s="60" t="s">
        <v>142</v>
      </c>
      <c r="H142" s="61">
        <v>0</v>
      </c>
      <c r="I142" s="1"/>
      <c r="J142" s="26"/>
      <c r="K142" s="27">
        <f t="shared" si="3"/>
        <v>0</v>
      </c>
      <c r="L142" s="63"/>
      <c r="M142" s="63"/>
      <c r="N142" s="1"/>
      <c r="O142" s="63">
        <f t="shared" si="4"/>
        <v>0</v>
      </c>
      <c r="P142" s="63"/>
      <c r="Q142" s="63"/>
      <c r="R142" s="20"/>
    </row>
    <row r="143" spans="1:38" ht="15.75" customHeight="1">
      <c r="A143" s="24">
        <v>70</v>
      </c>
      <c r="B143" s="23" t="s">
        <v>102</v>
      </c>
      <c r="C143" s="24" t="s">
        <v>18</v>
      </c>
      <c r="D143" s="23"/>
      <c r="E143" s="23" t="s">
        <v>19</v>
      </c>
      <c r="F143" s="60" t="s">
        <v>120</v>
      </c>
      <c r="G143" s="23" t="s">
        <v>142</v>
      </c>
      <c r="H143" s="25">
        <v>0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>
        <v>71</v>
      </c>
      <c r="B144" s="23" t="s">
        <v>103</v>
      </c>
      <c r="C144" s="24" t="s">
        <v>18</v>
      </c>
      <c r="D144" s="23"/>
      <c r="E144" s="23" t="s">
        <v>19</v>
      </c>
      <c r="F144" s="60" t="s">
        <v>120</v>
      </c>
      <c r="G144" s="23" t="s">
        <v>142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103</v>
      </c>
      <c r="C145" s="24" t="s">
        <v>18</v>
      </c>
      <c r="D145" s="23"/>
      <c r="E145" s="23" t="s">
        <v>19</v>
      </c>
      <c r="F145" s="23" t="s">
        <v>298</v>
      </c>
      <c r="G145" s="23" t="s">
        <v>122</v>
      </c>
      <c r="H145" s="25">
        <v>3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0</v>
      </c>
      <c r="P145" s="27"/>
      <c r="Q145" s="27"/>
      <c r="R145" s="20"/>
    </row>
    <row r="146" spans="1:38" ht="15" customHeight="1">
      <c r="A146" s="24">
        <v>72</v>
      </c>
      <c r="B146" s="23" t="s">
        <v>302</v>
      </c>
      <c r="C146" s="24" t="s">
        <v>305</v>
      </c>
      <c r="D146" s="23"/>
      <c r="E146" s="23" t="s">
        <v>19</v>
      </c>
      <c r="F146" s="23" t="s">
        <v>268</v>
      </c>
      <c r="G146" s="23" t="s">
        <v>122</v>
      </c>
      <c r="H146" s="25">
        <v>1</v>
      </c>
      <c r="I146" s="1"/>
      <c r="J146" s="26"/>
      <c r="K146" s="27"/>
      <c r="L146" s="27"/>
      <c r="M146" s="27"/>
      <c r="N146" s="1"/>
      <c r="O146" s="27"/>
      <c r="P146" s="27"/>
      <c r="Q146" s="27"/>
      <c r="R146" s="20"/>
    </row>
    <row r="147" spans="1:38" ht="24.75" customHeight="1">
      <c r="A147" s="29">
        <v>73</v>
      </c>
      <c r="B147" s="30" t="s">
        <v>105</v>
      </c>
      <c r="C147" s="29" t="s">
        <v>30</v>
      </c>
      <c r="D147" s="30" t="s">
        <v>106</v>
      </c>
      <c r="E147" s="30" t="s">
        <v>19</v>
      </c>
      <c r="F147" s="30" t="s">
        <v>123</v>
      </c>
      <c r="G147" s="30" t="s">
        <v>142</v>
      </c>
      <c r="H147" s="25">
        <v>2</v>
      </c>
      <c r="I147" s="1"/>
      <c r="J147" s="26"/>
      <c r="K147" s="27">
        <f t="shared" si="3"/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</row>
    <row r="148" spans="1:38" s="7" customFormat="1" ht="38.450000000000003" customHeight="1">
      <c r="A148" s="29">
        <v>74</v>
      </c>
      <c r="B148" s="30" t="s">
        <v>265</v>
      </c>
      <c r="C148" s="29" t="s">
        <v>18</v>
      </c>
      <c r="D148" s="30"/>
      <c r="E148" s="30" t="s">
        <v>19</v>
      </c>
      <c r="F148" s="30" t="s">
        <v>123</v>
      </c>
      <c r="G148" s="30" t="s">
        <v>142</v>
      </c>
      <c r="H148" s="25">
        <v>0</v>
      </c>
      <c r="I148" s="1"/>
      <c r="J148" s="26"/>
      <c r="K148" s="27">
        <f t="shared" ref="K148:K169" si="5">L148+M148</f>
        <v>0</v>
      </c>
      <c r="L148" s="27"/>
      <c r="M148" s="27"/>
      <c r="N148" s="1"/>
      <c r="O148" s="27">
        <f t="shared" si="4"/>
        <v>0</v>
      </c>
      <c r="P148" s="27"/>
      <c r="Q148" s="27"/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s="7" customFormat="1" ht="38.450000000000003" customHeight="1">
      <c r="A149" s="24">
        <v>75</v>
      </c>
      <c r="B149" s="23" t="s">
        <v>107</v>
      </c>
      <c r="C149" s="24" t="s">
        <v>18</v>
      </c>
      <c r="D149" s="23"/>
      <c r="E149" s="23" t="s">
        <v>41</v>
      </c>
      <c r="F149" s="30" t="s">
        <v>123</v>
      </c>
      <c r="G149" s="23" t="s">
        <v>142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/>
      <c r="O149" s="27">
        <f t="shared" si="4"/>
        <v>0</v>
      </c>
      <c r="P149" s="27"/>
      <c r="Q149" s="27"/>
      <c r="R149" s="20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</row>
    <row r="150" spans="1:38" ht="15.75" customHeight="1">
      <c r="A150" s="24"/>
      <c r="B150" s="23" t="s">
        <v>107</v>
      </c>
      <c r="C150" s="24" t="s">
        <v>18</v>
      </c>
      <c r="D150" s="23"/>
      <c r="E150" s="23" t="s">
        <v>41</v>
      </c>
      <c r="F150" s="23" t="s">
        <v>295</v>
      </c>
      <c r="G150" s="23" t="s">
        <v>136</v>
      </c>
      <c r="H150" s="25">
        <v>3</v>
      </c>
      <c r="I150" s="2"/>
      <c r="J150" s="26"/>
      <c r="K150" s="27">
        <f t="shared" si="5"/>
        <v>0</v>
      </c>
      <c r="L150" s="27"/>
      <c r="M150" s="27"/>
      <c r="N150" s="2"/>
      <c r="O150" s="27">
        <f t="shared" si="4"/>
        <v>0</v>
      </c>
      <c r="P150" s="27"/>
      <c r="Q150" s="27"/>
      <c r="R150" s="20"/>
    </row>
    <row r="151" spans="1:38" ht="16.5" customHeight="1">
      <c r="A151" s="24">
        <v>76</v>
      </c>
      <c r="B151" s="23" t="s">
        <v>108</v>
      </c>
      <c r="C151" s="24" t="s">
        <v>18</v>
      </c>
      <c r="D151" s="23"/>
      <c r="E151" s="23" t="s">
        <v>19</v>
      </c>
      <c r="F151" s="23" t="s">
        <v>292</v>
      </c>
      <c r="G151" s="23" t="s">
        <v>142</v>
      </c>
      <c r="H151" s="25">
        <v>5</v>
      </c>
      <c r="I151" s="1">
        <v>2</v>
      </c>
      <c r="J151" s="26">
        <v>2</v>
      </c>
      <c r="K151" s="27">
        <f t="shared" si="5"/>
        <v>0</v>
      </c>
      <c r="L151" s="27"/>
      <c r="M151" s="27"/>
      <c r="N151" s="1">
        <v>3</v>
      </c>
      <c r="O151" s="27">
        <f t="shared" si="4"/>
        <v>0</v>
      </c>
      <c r="P151" s="27"/>
      <c r="Q151" s="27"/>
      <c r="R151" s="20"/>
    </row>
    <row r="152" spans="1:38" s="7" customFormat="1" ht="16.5" customHeight="1">
      <c r="A152" s="24"/>
      <c r="B152" s="23" t="s">
        <v>108</v>
      </c>
      <c r="C152" s="24" t="s">
        <v>18</v>
      </c>
      <c r="D152" s="23"/>
      <c r="E152" s="23" t="s">
        <v>19</v>
      </c>
      <c r="F152" s="23" t="s">
        <v>0</v>
      </c>
      <c r="G152" s="23" t="s">
        <v>122</v>
      </c>
      <c r="H152" s="25">
        <v>0</v>
      </c>
      <c r="I152" s="1"/>
      <c r="J152" s="26"/>
      <c r="K152" s="27">
        <f t="shared" si="5"/>
        <v>0</v>
      </c>
      <c r="L152" s="27"/>
      <c r="M152" s="27"/>
      <c r="N152" s="1">
        <v>1</v>
      </c>
      <c r="O152" s="27"/>
      <c r="P152" s="27"/>
      <c r="Q152" s="27"/>
      <c r="R152" s="20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 spans="1:38" s="7" customFormat="1" ht="16.5" customHeight="1">
      <c r="A153" s="24">
        <v>77</v>
      </c>
      <c r="B153" s="23" t="s">
        <v>146</v>
      </c>
      <c r="C153" s="24" t="s">
        <v>18</v>
      </c>
      <c r="D153" s="23"/>
      <c r="E153" s="23" t="s">
        <v>104</v>
      </c>
      <c r="F153" s="23" t="s">
        <v>291</v>
      </c>
      <c r="G153" s="23" t="s">
        <v>142</v>
      </c>
      <c r="H153" s="25">
        <v>0</v>
      </c>
      <c r="I153" s="1"/>
      <c r="J153" s="26"/>
      <c r="K153" s="27">
        <f t="shared" si="5"/>
        <v>0</v>
      </c>
      <c r="L153" s="27"/>
      <c r="M153" s="27"/>
      <c r="N153" s="1"/>
      <c r="O153" s="27">
        <f t="shared" si="4"/>
        <v>0</v>
      </c>
      <c r="P153" s="27"/>
      <c r="Q153" s="27"/>
      <c r="R153" s="20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 spans="1:38" ht="23.45" customHeight="1">
      <c r="A154" s="29">
        <v>78</v>
      </c>
      <c r="B154" s="30" t="s">
        <v>109</v>
      </c>
      <c r="C154" s="29" t="s">
        <v>52</v>
      </c>
      <c r="D154" s="30" t="s">
        <v>110</v>
      </c>
      <c r="E154" s="30" t="s">
        <v>19</v>
      </c>
      <c r="F154" s="30" t="s">
        <v>123</v>
      </c>
      <c r="G154" s="30" t="s">
        <v>142</v>
      </c>
      <c r="H154" s="25">
        <v>6</v>
      </c>
      <c r="I154" s="1"/>
      <c r="J154" s="26"/>
      <c r="K154" s="27">
        <f t="shared" si="5"/>
        <v>0</v>
      </c>
      <c r="L154" s="27"/>
      <c r="M154" s="27"/>
      <c r="N154" s="1">
        <v>4</v>
      </c>
      <c r="O154" s="27">
        <f t="shared" si="4"/>
        <v>0</v>
      </c>
      <c r="P154" s="27"/>
      <c r="Q154" s="27"/>
      <c r="R154" s="20"/>
    </row>
    <row r="155" spans="1:38" s="7" customFormat="1" ht="27" customHeight="1">
      <c r="A155" s="29"/>
      <c r="B155" s="30" t="s">
        <v>109</v>
      </c>
      <c r="C155" s="29" t="s">
        <v>52</v>
      </c>
      <c r="D155" s="30" t="s">
        <v>110</v>
      </c>
      <c r="E155" s="30" t="s">
        <v>19</v>
      </c>
      <c r="F155" s="30" t="s">
        <v>292</v>
      </c>
      <c r="G155" s="30" t="s">
        <v>122</v>
      </c>
      <c r="H155" s="25">
        <v>3</v>
      </c>
      <c r="I155" s="1"/>
      <c r="J155" s="26"/>
      <c r="K155" s="27">
        <f t="shared" si="5"/>
        <v>0</v>
      </c>
      <c r="L155" s="27"/>
      <c r="M155" s="27"/>
      <c r="N155" s="1">
        <v>6</v>
      </c>
      <c r="O155" s="27">
        <f t="shared" si="4"/>
        <v>0</v>
      </c>
      <c r="P155" s="27"/>
      <c r="Q155" s="27"/>
      <c r="R155" s="20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</row>
    <row r="156" spans="1:38" ht="27.75" customHeight="1">
      <c r="A156" s="24">
        <v>79</v>
      </c>
      <c r="B156" s="23" t="s">
        <v>111</v>
      </c>
      <c r="C156" s="24" t="s">
        <v>18</v>
      </c>
      <c r="D156" s="23"/>
      <c r="E156" s="23" t="s">
        <v>112</v>
      </c>
      <c r="F156" s="23" t="s">
        <v>268</v>
      </c>
      <c r="G156" s="23" t="s">
        <v>142</v>
      </c>
      <c r="H156" s="25">
        <v>1</v>
      </c>
      <c r="I156" s="1"/>
      <c r="J156" s="26"/>
      <c r="K156" s="27">
        <f t="shared" si="5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6.5" customHeight="1">
      <c r="A157" s="24"/>
      <c r="B157" s="23" t="s">
        <v>111</v>
      </c>
      <c r="C157" s="24" t="s">
        <v>18</v>
      </c>
      <c r="D157" s="23"/>
      <c r="E157" s="23" t="s">
        <v>112</v>
      </c>
      <c r="F157" s="23" t="s">
        <v>123</v>
      </c>
      <c r="G157" s="23" t="s">
        <v>136</v>
      </c>
      <c r="H157" s="25">
        <v>2</v>
      </c>
      <c r="I157" s="2"/>
      <c r="J157" s="26"/>
      <c r="K157" s="27">
        <f t="shared" si="5"/>
        <v>0</v>
      </c>
      <c r="L157" s="27"/>
      <c r="M157" s="27"/>
      <c r="N157" s="2"/>
      <c r="O157" s="27">
        <f t="shared" si="4"/>
        <v>0</v>
      </c>
      <c r="P157" s="27"/>
      <c r="Q157" s="27"/>
      <c r="R157" s="20"/>
    </row>
    <row r="158" spans="1:38" ht="16.5" customHeight="1">
      <c r="A158" s="24">
        <v>80</v>
      </c>
      <c r="B158" s="23" t="s">
        <v>113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5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18.75" customHeight="1">
      <c r="A159" s="24"/>
      <c r="B159" s="23" t="s">
        <v>113</v>
      </c>
      <c r="C159" s="24" t="s">
        <v>18</v>
      </c>
      <c r="D159" s="23"/>
      <c r="E159" s="23" t="s">
        <v>19</v>
      </c>
      <c r="F159" s="23" t="s">
        <v>292</v>
      </c>
      <c r="G159" s="23" t="s">
        <v>122</v>
      </c>
      <c r="H159" s="25">
        <v>2</v>
      </c>
      <c r="I159" s="1"/>
      <c r="J159" s="26"/>
      <c r="K159" s="27">
        <f t="shared" si="5"/>
        <v>0</v>
      </c>
      <c r="L159" s="27"/>
      <c r="M159" s="27"/>
      <c r="N159" s="1">
        <v>2</v>
      </c>
      <c r="O159" s="27">
        <f t="shared" si="4"/>
        <v>0</v>
      </c>
      <c r="P159" s="27"/>
      <c r="Q159" s="27"/>
      <c r="R159" s="20"/>
    </row>
    <row r="160" spans="1:38" ht="12.6" customHeight="1">
      <c r="A160" s="24">
        <v>81</v>
      </c>
      <c r="B160" s="23" t="s">
        <v>114</v>
      </c>
      <c r="C160" s="24" t="s">
        <v>18</v>
      </c>
      <c r="D160" s="23"/>
      <c r="E160" s="23" t="s">
        <v>41</v>
      </c>
      <c r="F160" s="23" t="s">
        <v>268</v>
      </c>
      <c r="G160" s="23" t="s">
        <v>142</v>
      </c>
      <c r="H160" s="25">
        <v>0</v>
      </c>
      <c r="I160" s="1"/>
      <c r="J160" s="26"/>
      <c r="K160" s="27">
        <f t="shared" si="5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6.899999999999999" customHeight="1">
      <c r="A161" s="24"/>
      <c r="B161" s="23" t="s">
        <v>141</v>
      </c>
      <c r="C161" s="24" t="s">
        <v>18</v>
      </c>
      <c r="D161" s="23"/>
      <c r="E161" s="23" t="s">
        <v>41</v>
      </c>
      <c r="F161" s="23" t="s">
        <v>295</v>
      </c>
      <c r="G161" s="23" t="s">
        <v>136</v>
      </c>
      <c r="H161" s="25">
        <v>2</v>
      </c>
      <c r="I161" s="2"/>
      <c r="J161" s="26"/>
      <c r="K161" s="27">
        <f t="shared" si="5"/>
        <v>0</v>
      </c>
      <c r="L161" s="27"/>
      <c r="M161" s="27"/>
      <c r="N161" s="2"/>
      <c r="O161" s="27">
        <f t="shared" si="4"/>
        <v>0</v>
      </c>
      <c r="P161" s="27"/>
      <c r="Q161" s="27"/>
      <c r="R161" s="20"/>
    </row>
    <row r="162" spans="1:38" ht="24.6" customHeight="1">
      <c r="A162" s="29">
        <v>82</v>
      </c>
      <c r="B162" s="30" t="s">
        <v>115</v>
      </c>
      <c r="C162" s="29" t="s">
        <v>52</v>
      </c>
      <c r="D162" s="30" t="s">
        <v>110</v>
      </c>
      <c r="E162" s="30" t="s">
        <v>19</v>
      </c>
      <c r="F162" s="30"/>
      <c r="G162" s="30" t="s">
        <v>142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ref="O162:O166" si="6">P162+Q162</f>
        <v>0</v>
      </c>
      <c r="P162" s="27"/>
      <c r="Q162" s="27"/>
      <c r="R162" s="20"/>
    </row>
    <row r="163" spans="1:38" ht="32.25" customHeight="1">
      <c r="A163" s="29"/>
      <c r="B163" s="30" t="s">
        <v>115</v>
      </c>
      <c r="C163" s="29" t="s">
        <v>52</v>
      </c>
      <c r="D163" s="30" t="s">
        <v>110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44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38" ht="34.9" customHeight="1">
      <c r="A164" s="29">
        <v>83</v>
      </c>
      <c r="B164" s="30" t="s">
        <v>116</v>
      </c>
      <c r="C164" s="29" t="s">
        <v>52</v>
      </c>
      <c r="D164" s="30" t="s">
        <v>117</v>
      </c>
      <c r="E164" s="30" t="s">
        <v>19</v>
      </c>
      <c r="F164" s="30" t="s">
        <v>299</v>
      </c>
      <c r="G164" s="30" t="s">
        <v>142</v>
      </c>
      <c r="H164" s="25">
        <v>5</v>
      </c>
      <c r="I164" s="1"/>
      <c r="J164" s="44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38" ht="28.5" customHeight="1">
      <c r="A165" s="29">
        <v>84</v>
      </c>
      <c r="B165" s="30" t="s">
        <v>209</v>
      </c>
      <c r="C165" s="29" t="s">
        <v>18</v>
      </c>
      <c r="D165" s="30"/>
      <c r="E165" s="30" t="s">
        <v>19</v>
      </c>
      <c r="F165" s="30" t="s">
        <v>123</v>
      </c>
      <c r="G165" s="30" t="s">
        <v>142</v>
      </c>
      <c r="H165" s="25">
        <v>0</v>
      </c>
      <c r="I165" s="1"/>
      <c r="J165" s="44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38" ht="19.5" customHeight="1">
      <c r="A166" s="29">
        <v>85</v>
      </c>
      <c r="B166" s="30" t="s">
        <v>118</v>
      </c>
      <c r="C166" s="29" t="s">
        <v>18</v>
      </c>
      <c r="D166" s="30"/>
      <c r="E166" s="30" t="s">
        <v>41</v>
      </c>
      <c r="F166" s="30" t="s">
        <v>292</v>
      </c>
      <c r="G166" s="30" t="s">
        <v>142</v>
      </c>
      <c r="H166" s="25">
        <v>1</v>
      </c>
      <c r="I166" s="1"/>
      <c r="J166" s="44"/>
      <c r="K166" s="27">
        <f t="shared" si="5"/>
        <v>0</v>
      </c>
      <c r="L166" s="27"/>
      <c r="M166" s="27"/>
      <c r="N166" s="1">
        <v>12</v>
      </c>
      <c r="O166" s="27">
        <f t="shared" si="6"/>
        <v>0</v>
      </c>
      <c r="P166" s="27"/>
      <c r="Q166" s="27"/>
      <c r="R166" s="20"/>
    </row>
    <row r="167" spans="1:38" s="7" customFormat="1" ht="30.6" customHeight="1">
      <c r="A167" s="24"/>
      <c r="B167" s="23" t="s">
        <v>118</v>
      </c>
      <c r="C167" s="24" t="s">
        <v>18</v>
      </c>
      <c r="D167" s="23"/>
      <c r="E167" s="23" t="s">
        <v>41</v>
      </c>
      <c r="F167" s="23" t="s">
        <v>298</v>
      </c>
      <c r="G167" s="23" t="s">
        <v>124</v>
      </c>
      <c r="H167" s="25">
        <v>0</v>
      </c>
      <c r="I167" s="1"/>
      <c r="J167" s="44"/>
      <c r="K167" s="27">
        <f t="shared" si="5"/>
        <v>0</v>
      </c>
      <c r="L167" s="27"/>
      <c r="M167" s="27"/>
      <c r="N167" s="1"/>
      <c r="O167" s="27">
        <f>P167+Q167</f>
        <v>0</v>
      </c>
      <c r="P167" s="27"/>
      <c r="Q167" s="27"/>
      <c r="R167" s="20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</row>
    <row r="168" spans="1:38" ht="27" customHeight="1">
      <c r="A168" s="24"/>
      <c r="B168" s="23" t="s">
        <v>118</v>
      </c>
      <c r="C168" s="24" t="s">
        <v>18</v>
      </c>
      <c r="D168" s="23"/>
      <c r="E168" s="23" t="s">
        <v>41</v>
      </c>
      <c r="F168" s="23" t="s">
        <v>123</v>
      </c>
      <c r="G168" s="23" t="s">
        <v>136</v>
      </c>
      <c r="H168" s="25">
        <v>0</v>
      </c>
      <c r="I168" s="2"/>
      <c r="J168" s="26"/>
      <c r="K168" s="27">
        <f t="shared" si="5"/>
        <v>0</v>
      </c>
      <c r="L168" s="27"/>
      <c r="M168" s="27"/>
      <c r="N168" s="2"/>
      <c r="O168" s="27">
        <f>P168+Q168</f>
        <v>0</v>
      </c>
      <c r="P168" s="27"/>
      <c r="Q168" s="27"/>
      <c r="R168" s="20"/>
    </row>
    <row r="169" spans="1:38" ht="18.75" customHeight="1" thickBot="1">
      <c r="A169" s="47"/>
      <c r="B169" s="99" t="s">
        <v>119</v>
      </c>
      <c r="C169" s="47" t="s">
        <v>18</v>
      </c>
      <c r="D169" s="99"/>
      <c r="E169" s="99" t="s">
        <v>19</v>
      </c>
      <c r="F169" s="99" t="s">
        <v>120</v>
      </c>
      <c r="G169" s="99" t="s">
        <v>122</v>
      </c>
      <c r="H169" s="100">
        <v>0</v>
      </c>
      <c r="I169" s="16"/>
      <c r="J169" s="101"/>
      <c r="K169" s="27">
        <f t="shared" si="5"/>
        <v>0</v>
      </c>
      <c r="L169" s="102"/>
      <c r="M169" s="102"/>
      <c r="N169" s="16"/>
      <c r="O169" s="102">
        <f>P169+Q169</f>
        <v>0</v>
      </c>
      <c r="P169" s="102"/>
      <c r="Q169" s="102"/>
      <c r="R169" s="20"/>
    </row>
    <row r="170" spans="1:38" ht="16.5" customHeight="1">
      <c r="A170" s="87" t="s">
        <v>145</v>
      </c>
      <c r="B170" s="87"/>
      <c r="C170" s="88"/>
      <c r="D170" s="89"/>
      <c r="E170" s="89"/>
      <c r="F170" s="89"/>
      <c r="G170" s="89"/>
      <c r="H170" s="88">
        <f t="shared" ref="H170:Q170" si="7">SUM(H10:H169)</f>
        <v>171</v>
      </c>
      <c r="I170" s="88">
        <f t="shared" si="7"/>
        <v>18</v>
      </c>
      <c r="J170" s="88">
        <f t="shared" si="7"/>
        <v>18</v>
      </c>
      <c r="K170" s="90">
        <f t="shared" si="7"/>
        <v>0</v>
      </c>
      <c r="L170" s="90">
        <f t="shared" si="7"/>
        <v>0</v>
      </c>
      <c r="M170" s="88">
        <f t="shared" si="7"/>
        <v>0</v>
      </c>
      <c r="N170" s="88">
        <f t="shared" si="7"/>
        <v>142</v>
      </c>
      <c r="O170" s="88">
        <f t="shared" si="7"/>
        <v>0</v>
      </c>
      <c r="P170" s="88">
        <f t="shared" si="7"/>
        <v>0</v>
      </c>
      <c r="Q170" s="88">
        <f t="shared" si="7"/>
        <v>0</v>
      </c>
      <c r="R170" s="20"/>
    </row>
    <row r="171" spans="1:38" ht="15" customHeight="1">
      <c r="A171" s="5"/>
      <c r="B171" s="6"/>
      <c r="C171" s="5"/>
      <c r="D171" s="6"/>
      <c r="E171" s="6"/>
      <c r="F171" s="6"/>
      <c r="G171" s="6"/>
      <c r="H171" s="9"/>
      <c r="I171" s="9"/>
      <c r="J171" s="9"/>
      <c r="K171" s="9"/>
      <c r="L171" s="9"/>
      <c r="M171" s="11"/>
      <c r="N171" s="9"/>
      <c r="O171" s="9"/>
      <c r="P171" s="5"/>
      <c r="Q171" s="13"/>
      <c r="R171" s="20"/>
    </row>
    <row r="172" spans="1:38">
      <c r="R172" s="20"/>
    </row>
    <row r="173" spans="1:38">
      <c r="K173" s="15"/>
      <c r="L173" s="15"/>
      <c r="M173" s="19"/>
    </row>
    <row r="174" spans="1:38">
      <c r="K174" s="15"/>
      <c r="L174" s="15"/>
      <c r="N174" s="15"/>
      <c r="O174" s="15"/>
    </row>
    <row r="175" spans="1:38">
      <c r="K175" s="15"/>
      <c r="L175" s="15"/>
      <c r="N175" s="15"/>
    </row>
    <row r="176" spans="1:38">
      <c r="K176" s="15"/>
      <c r="L176" s="15"/>
    </row>
    <row r="177" spans="11:12">
      <c r="K177" s="15"/>
      <c r="L177" s="15"/>
    </row>
    <row r="178" spans="11:12">
      <c r="L178" s="15"/>
    </row>
    <row r="185" spans="11:12">
      <c r="L185" s="15"/>
    </row>
  </sheetData>
  <mergeCells count="8">
    <mergeCell ref="A170:B17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R220"/>
  <sheetViews>
    <sheetView topLeftCell="A79" zoomScale="73" zoomScaleNormal="73" workbookViewId="0">
      <selection activeCell="P79" sqref="A7:Q205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 t="shared" ref="O10:O93" si="1"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19</v>
      </c>
      <c r="I11" s="1">
        <v>9</v>
      </c>
      <c r="J11" s="26">
        <v>9</v>
      </c>
      <c r="K11" s="27">
        <f t="shared" ref="K11:K86" si="2">L11+M11</f>
        <v>15858</v>
      </c>
      <c r="L11" s="27">
        <v>1762</v>
      </c>
      <c r="M11" s="27">
        <v>14096</v>
      </c>
      <c r="N11" s="1">
        <v>16</v>
      </c>
      <c r="O11" s="27">
        <f t="shared" si="1"/>
        <v>65828.320000000007</v>
      </c>
      <c r="P11" s="27">
        <v>38869.72</v>
      </c>
      <c r="Q11" s="27">
        <v>26958.600000000006</v>
      </c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25</v>
      </c>
      <c r="I12" s="1">
        <v>10</v>
      </c>
      <c r="J12" s="26">
        <v>14</v>
      </c>
      <c r="K12" s="27">
        <f t="shared" si="2"/>
        <v>0</v>
      </c>
      <c r="L12" s="27"/>
      <c r="M12" s="27"/>
      <c r="N12" s="1">
        <v>11</v>
      </c>
      <c r="O12" s="27">
        <f t="shared" si="1"/>
        <v>19746.059999999998</v>
      </c>
      <c r="P12" s="27">
        <f>3500.41+1181.1+15064.55</f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12</v>
      </c>
      <c r="J14" s="26">
        <v>18</v>
      </c>
      <c r="K14" s="27">
        <f t="shared" si="2"/>
        <v>0</v>
      </c>
      <c r="L14" s="27"/>
      <c r="M14" s="27"/>
      <c r="N14" s="1">
        <v>16</v>
      </c>
      <c r="O14" s="27">
        <f t="shared" si="1"/>
        <v>18700.02</v>
      </c>
      <c r="P14" s="27">
        <f>6380.54+898.62+5963.63+5457.23</f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17</v>
      </c>
      <c r="I15" s="2">
        <v>18</v>
      </c>
      <c r="J15" s="26">
        <v>18</v>
      </c>
      <c r="K15" s="27">
        <f t="shared" si="2"/>
        <v>0</v>
      </c>
      <c r="L15" s="27"/>
      <c r="M15" s="27"/>
      <c r="N15" s="2">
        <v>11</v>
      </c>
      <c r="O15" s="27">
        <f t="shared" si="1"/>
        <v>35243.4</v>
      </c>
      <c r="P15" s="27">
        <v>35243.4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42</v>
      </c>
      <c r="I16" s="1">
        <v>36</v>
      </c>
      <c r="J16" s="26">
        <v>42</v>
      </c>
      <c r="K16" s="27">
        <f t="shared" si="2"/>
        <v>13586.04</v>
      </c>
      <c r="L16" s="27">
        <f>4556.63+4600.8+4428.61</f>
        <v>13586.04</v>
      </c>
      <c r="M16" s="27"/>
      <c r="N16" s="1">
        <v>22</v>
      </c>
      <c r="O16" s="27">
        <f t="shared" si="1"/>
        <v>47356.040000000008</v>
      </c>
      <c r="P16" s="27">
        <f>9373.48+1765.32+2881.47+14555.74+1792.06+3628.8+10310.59+3048.58</f>
        <v>47356.040000000008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23296.77</v>
      </c>
      <c r="P19" s="27">
        <f>1367.31+18766.53+3162.93</f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38</v>
      </c>
      <c r="I20" s="1">
        <v>29</v>
      </c>
      <c r="J20" s="26">
        <v>30</v>
      </c>
      <c r="K20" s="27">
        <f t="shared" si="2"/>
        <v>7945.39</v>
      </c>
      <c r="L20" s="27">
        <f>7945.39</f>
        <v>7945.39</v>
      </c>
      <c r="M20" s="27"/>
      <c r="N20" s="1">
        <v>26</v>
      </c>
      <c r="O20" s="27">
        <f t="shared" si="1"/>
        <v>58770.28</v>
      </c>
      <c r="P20" s="27">
        <f>4072.37+2831.63+9295.25+1395.5+16947.28+5032.27+19195.98</f>
        <v>58770.28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>
        <v>2</v>
      </c>
      <c r="O21" s="27">
        <f t="shared" si="1"/>
        <v>3786.7</v>
      </c>
      <c r="P21" s="27">
        <v>3786.7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9</v>
      </c>
      <c r="I22" s="2">
        <v>1</v>
      </c>
      <c r="J22" s="26">
        <v>1</v>
      </c>
      <c r="K22" s="27">
        <f t="shared" si="2"/>
        <v>1288.7</v>
      </c>
      <c r="L22" s="27">
        <v>1288.7</v>
      </c>
      <c r="M22" s="27"/>
      <c r="N22" s="2">
        <v>12</v>
      </c>
      <c r="O22" s="27">
        <f t="shared" si="1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>
        <v>1</v>
      </c>
      <c r="O23" s="27">
        <f t="shared" si="1"/>
        <v>6214.5599999999995</v>
      </c>
      <c r="P23" s="27">
        <f>488.18+2791.37+2935.01</f>
        <v>6214.5599999999995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2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15" customHeight="1">
      <c r="A26" s="41">
        <v>9</v>
      </c>
      <c r="B26" s="37" t="s">
        <v>484</v>
      </c>
      <c r="C26" s="41" t="s">
        <v>18</v>
      </c>
      <c r="D26" s="37"/>
      <c r="E26" s="37" t="s">
        <v>19</v>
      </c>
      <c r="F26" s="37" t="s">
        <v>485</v>
      </c>
      <c r="G26" s="37" t="s">
        <v>122</v>
      </c>
      <c r="H26" s="42">
        <v>2</v>
      </c>
      <c r="I26" s="40"/>
      <c r="J26" s="43"/>
      <c r="K26" s="39"/>
      <c r="L26" s="39"/>
      <c r="M26" s="39"/>
      <c r="N26" s="40"/>
      <c r="O26" s="39"/>
      <c r="P26" s="39"/>
      <c r="Q26" s="39"/>
      <c r="R26" s="20"/>
    </row>
    <row r="27" spans="1:3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f t="shared" si="2"/>
        <v>4086.08</v>
      </c>
      <c r="L27" s="27">
        <f>4086.08</f>
        <v>4086.08</v>
      </c>
      <c r="M27" s="27"/>
      <c r="N27" s="1">
        <v>3</v>
      </c>
      <c r="O27" s="27">
        <f t="shared" si="1"/>
        <v>0</v>
      </c>
      <c r="P27" s="27"/>
      <c r="Q27" s="27"/>
      <c r="R27" s="20"/>
    </row>
    <row r="28" spans="1:3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12</v>
      </c>
      <c r="I28" s="1">
        <v>8</v>
      </c>
      <c r="J28" s="44">
        <v>11</v>
      </c>
      <c r="K28" s="27">
        <f t="shared" si="2"/>
        <v>0</v>
      </c>
      <c r="L28" s="27"/>
      <c r="M28" s="27"/>
      <c r="N28" s="1">
        <v>4</v>
      </c>
      <c r="O28" s="27">
        <f t="shared" si="1"/>
        <v>12527.2</v>
      </c>
      <c r="P28" s="27">
        <f>3364.54+9162.66</f>
        <v>12527.2</v>
      </c>
      <c r="Q28" s="27"/>
      <c r="R28" s="20"/>
    </row>
    <row r="29" spans="1:38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f t="shared" si="2"/>
        <v>0</v>
      </c>
      <c r="L29" s="27"/>
      <c r="M29" s="27"/>
      <c r="N29" s="1">
        <v>2</v>
      </c>
      <c r="O29" s="27">
        <f t="shared" si="1"/>
        <v>0</v>
      </c>
      <c r="P29" s="27"/>
      <c r="Q29" s="27"/>
      <c r="R29" s="20"/>
    </row>
    <row r="30" spans="1:38" s="7" customFormat="1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21</v>
      </c>
      <c r="I30" s="1">
        <v>15</v>
      </c>
      <c r="J30" s="26">
        <v>16</v>
      </c>
      <c r="K30" s="27">
        <f t="shared" si="2"/>
        <v>1837.77</v>
      </c>
      <c r="L30" s="27">
        <v>1837.77</v>
      </c>
      <c r="M30" s="27"/>
      <c r="N30" s="1">
        <v>14</v>
      </c>
      <c r="O30" s="27">
        <f t="shared" si="1"/>
        <v>16013.28</v>
      </c>
      <c r="P30" s="27">
        <f>1585.49+7579.12+718.9+1852.33+814.04+1529.24+1934.16</f>
        <v>16013.28</v>
      </c>
      <c r="Q30" s="27"/>
      <c r="R30" s="20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1:38" s="18" customFormat="1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f t="shared" si="2"/>
        <v>0</v>
      </c>
      <c r="L31" s="27"/>
      <c r="M31" s="27"/>
      <c r="N31" s="2">
        <v>4</v>
      </c>
      <c r="O31" s="27">
        <f t="shared" si="1"/>
        <v>0</v>
      </c>
      <c r="P31" s="27"/>
      <c r="Q31" s="27"/>
      <c r="R31" s="20"/>
    </row>
    <row r="32" spans="1:38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f t="shared" si="2"/>
        <v>0</v>
      </c>
      <c r="L32" s="27"/>
      <c r="M32" s="27"/>
      <c r="N32" s="2">
        <v>5</v>
      </c>
      <c r="O32" s="27">
        <f t="shared" si="1"/>
        <v>1585.8</v>
      </c>
      <c r="P32" s="27">
        <v>1585.8</v>
      </c>
      <c r="Q32" s="27"/>
      <c r="R32" s="20"/>
    </row>
    <row r="33" spans="1:38" s="7" customFormat="1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20</v>
      </c>
      <c r="I33" s="1">
        <v>12</v>
      </c>
      <c r="J33" s="26">
        <v>19</v>
      </c>
      <c r="K33" s="27">
        <f t="shared" si="2"/>
        <v>6122.51</v>
      </c>
      <c r="L33" s="27">
        <f>1850.1+4272.41</f>
        <v>6122.51</v>
      </c>
      <c r="M33" s="27"/>
      <c r="N33" s="1">
        <v>14</v>
      </c>
      <c r="O33" s="27">
        <f t="shared" si="1"/>
        <v>38408.44</v>
      </c>
      <c r="P33" s="27">
        <f>8353.67+11335.86+6709.68+4084.83+7924.4</f>
        <v>38408.44</v>
      </c>
      <c r="Q33" s="27"/>
      <c r="R33" s="20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1:38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5</v>
      </c>
      <c r="I34" s="2">
        <v>2</v>
      </c>
      <c r="J34" s="26">
        <v>2</v>
      </c>
      <c r="K34" s="27">
        <f t="shared" si="2"/>
        <v>1380.75</v>
      </c>
      <c r="L34" s="27">
        <v>1380.75</v>
      </c>
      <c r="M34" s="27"/>
      <c r="N34" s="2">
        <v>4</v>
      </c>
      <c r="O34" s="27">
        <f t="shared" si="1"/>
        <v>2995.4</v>
      </c>
      <c r="P34" s="27">
        <v>2995.4</v>
      </c>
      <c r="Q34" s="27"/>
      <c r="R34" s="20"/>
    </row>
    <row r="35" spans="1:3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f t="shared" si="2"/>
        <v>0</v>
      </c>
      <c r="L35" s="27"/>
      <c r="M35" s="27"/>
      <c r="N35" s="1">
        <v>4</v>
      </c>
      <c r="O35" s="27">
        <f t="shared" si="1"/>
        <v>10226.050000000001</v>
      </c>
      <c r="P35" s="27">
        <f>3494.69+1178.8+4726.71+825.85</f>
        <v>10226.050000000001</v>
      </c>
      <c r="Q35" s="27"/>
      <c r="R35" s="20"/>
    </row>
    <row r="36" spans="1:38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f t="shared" si="2"/>
        <v>0</v>
      </c>
      <c r="L36" s="27"/>
      <c r="M36" s="27"/>
      <c r="N36" s="1">
        <v>7</v>
      </c>
      <c r="O36" s="27">
        <f t="shared" si="1"/>
        <v>2995.4</v>
      </c>
      <c r="P36" s="27">
        <v>2995.4</v>
      </c>
      <c r="Q36" s="27"/>
      <c r="R36" s="20"/>
    </row>
    <row r="37" spans="1:38" s="7" customFormat="1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14</v>
      </c>
      <c r="I37" s="1">
        <v>5</v>
      </c>
      <c r="J37" s="26">
        <v>5</v>
      </c>
      <c r="K37" s="27">
        <f t="shared" si="2"/>
        <v>0</v>
      </c>
      <c r="L37" s="27"/>
      <c r="M37" s="27"/>
      <c r="N37" s="1">
        <v>9</v>
      </c>
      <c r="O37" s="27">
        <f t="shared" si="1"/>
        <v>11156.02</v>
      </c>
      <c r="P37" s="27">
        <f>7284.47+3871.55</f>
        <v>11156.02</v>
      </c>
      <c r="Q37" s="27"/>
      <c r="R37" s="20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1:38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16</v>
      </c>
      <c r="I38" s="2">
        <v>1</v>
      </c>
      <c r="J38" s="26">
        <v>1</v>
      </c>
      <c r="K38" s="27">
        <f t="shared" si="2"/>
        <v>0</v>
      </c>
      <c r="L38" s="27"/>
      <c r="M38" s="27"/>
      <c r="N38" s="2">
        <v>6</v>
      </c>
      <c r="O38" s="27">
        <f t="shared" si="1"/>
        <v>10660.1</v>
      </c>
      <c r="P38" s="27">
        <v>10660.1</v>
      </c>
      <c r="Q38" s="27"/>
      <c r="R38" s="20"/>
    </row>
    <row r="39" spans="1:3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17</v>
      </c>
      <c r="I39" s="1">
        <v>13</v>
      </c>
      <c r="J39" s="26">
        <v>15</v>
      </c>
      <c r="K39" s="27">
        <f t="shared" si="2"/>
        <v>5154.01</v>
      </c>
      <c r="L39" s="27">
        <v>5154.01</v>
      </c>
      <c r="M39" s="27"/>
      <c r="N39" s="1">
        <v>12</v>
      </c>
      <c r="O39" s="27">
        <f t="shared" si="1"/>
        <v>24143.260000000002</v>
      </c>
      <c r="P39" s="27">
        <f>984.25+2870.5+11957.46+2947.8+1347.93+1162.92+1434.2+1438.2</f>
        <v>24143.260000000002</v>
      </c>
      <c r="Q39" s="27"/>
      <c r="R39" s="20"/>
    </row>
    <row r="40" spans="1:38" ht="1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16</v>
      </c>
      <c r="I40" s="2">
        <v>3</v>
      </c>
      <c r="J40" s="26">
        <v>3</v>
      </c>
      <c r="K40" s="27">
        <f t="shared" si="2"/>
        <v>0</v>
      </c>
      <c r="L40" s="27"/>
      <c r="M40" s="27"/>
      <c r="N40" s="2">
        <v>10</v>
      </c>
      <c r="O40" s="27">
        <f t="shared" si="1"/>
        <v>19293.900000000001</v>
      </c>
      <c r="P40" s="27">
        <v>19293.900000000001</v>
      </c>
      <c r="Q40" s="27"/>
      <c r="R40" s="20"/>
    </row>
    <row r="41" spans="1:3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11</v>
      </c>
      <c r="I41" s="1">
        <v>3</v>
      </c>
      <c r="J41" s="26">
        <v>3</v>
      </c>
      <c r="K41" s="27">
        <f t="shared" si="2"/>
        <v>1131.2</v>
      </c>
      <c r="L41" s="27">
        <v>1131.2</v>
      </c>
      <c r="M41" s="27"/>
      <c r="N41" s="1">
        <v>6</v>
      </c>
      <c r="O41" s="27">
        <f t="shared" si="1"/>
        <v>4817.32</v>
      </c>
      <c r="P41" s="27">
        <f>1233.4+2752.72+831.2</f>
        <v>4817.32</v>
      </c>
      <c r="Q41" s="27"/>
      <c r="R41" s="20"/>
    </row>
    <row r="42" spans="1:38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13</v>
      </c>
      <c r="I42" s="1"/>
      <c r="J42" s="26"/>
      <c r="K42" s="27">
        <f t="shared" si="2"/>
        <v>0</v>
      </c>
      <c r="L42" s="27"/>
      <c r="M42" s="27"/>
      <c r="N42" s="1">
        <v>4</v>
      </c>
      <c r="O42" s="27">
        <f t="shared" si="1"/>
        <v>4228.8</v>
      </c>
      <c r="P42" s="27">
        <v>4228.8</v>
      </c>
      <c r="Q42" s="27"/>
      <c r="R42" s="20"/>
    </row>
    <row r="43" spans="1:38" s="7" customFormat="1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24</v>
      </c>
      <c r="I43" s="1"/>
      <c r="J43" s="26"/>
      <c r="K43" s="27">
        <f t="shared" si="2"/>
        <v>0</v>
      </c>
      <c r="L43" s="27"/>
      <c r="M43" s="27"/>
      <c r="N43" s="1"/>
      <c r="O43" s="27">
        <f t="shared" si="1"/>
        <v>7158.4</v>
      </c>
      <c r="P43" s="27">
        <f>877.89+141.04+827.61+5311.86</f>
        <v>7158.4</v>
      </c>
      <c r="Q43" s="27"/>
      <c r="R43" s="20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 spans="1:38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f t="shared" si="2"/>
        <v>0</v>
      </c>
      <c r="L44" s="27"/>
      <c r="M44" s="27"/>
      <c r="N44" s="2"/>
      <c r="O44" s="27">
        <f t="shared" si="1"/>
        <v>0</v>
      </c>
      <c r="P44" s="27"/>
      <c r="Q44" s="27"/>
      <c r="R44" s="20"/>
    </row>
    <row r="45" spans="1:3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f t="shared" si="2"/>
        <v>0</v>
      </c>
      <c r="L45" s="27"/>
      <c r="M45" s="27"/>
      <c r="N45" s="1">
        <v>5</v>
      </c>
      <c r="O45" s="27">
        <f t="shared" si="1"/>
        <v>34238.409999999996</v>
      </c>
      <c r="P45" s="27">
        <f>958.09+21910.1</f>
        <v>22868.19</v>
      </c>
      <c r="Q45" s="27">
        <v>11370.22</v>
      </c>
      <c r="R45" s="20"/>
    </row>
    <row r="46" spans="1:38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9</v>
      </c>
      <c r="I46" s="1"/>
      <c r="J46" s="26"/>
      <c r="K46" s="27">
        <f t="shared" si="2"/>
        <v>0</v>
      </c>
      <c r="L46" s="27"/>
      <c r="M46" s="27"/>
      <c r="N46" s="1">
        <v>5</v>
      </c>
      <c r="O46" s="27">
        <f t="shared" si="1"/>
        <v>6431.3</v>
      </c>
      <c r="P46" s="27">
        <v>3083.5</v>
      </c>
      <c r="Q46" s="27">
        <v>3347.8</v>
      </c>
      <c r="R46" s="20"/>
    </row>
    <row r="47" spans="1:3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f t="shared" si="2"/>
        <v>0</v>
      </c>
      <c r="L47" s="27"/>
      <c r="M47" s="27"/>
      <c r="N47" s="1">
        <v>8</v>
      </c>
      <c r="O47" s="27">
        <f t="shared" si="1"/>
        <v>15929.75</v>
      </c>
      <c r="P47" s="27">
        <f>1255.23+3889.96</f>
        <v>5145.1900000000005</v>
      </c>
      <c r="Q47" s="27">
        <f>8518.63+2265.93</f>
        <v>10784.56</v>
      </c>
      <c r="R47" s="20"/>
    </row>
    <row r="48" spans="1:38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9</v>
      </c>
      <c r="I48" s="1">
        <v>2</v>
      </c>
      <c r="J48" s="26">
        <v>2</v>
      </c>
      <c r="K48" s="27">
        <f t="shared" si="2"/>
        <v>0</v>
      </c>
      <c r="L48" s="27"/>
      <c r="M48" s="27"/>
      <c r="N48" s="1">
        <v>9</v>
      </c>
      <c r="O48" s="27">
        <f t="shared" si="1"/>
        <v>20020.73</v>
      </c>
      <c r="P48" s="27">
        <v>3105.53</v>
      </c>
      <c r="Q48" s="27">
        <v>16915.2</v>
      </c>
      <c r="R48" s="20"/>
    </row>
    <row r="49" spans="1:3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16</v>
      </c>
      <c r="I49" s="1">
        <v>14</v>
      </c>
      <c r="J49" s="26">
        <v>16</v>
      </c>
      <c r="K49" s="27">
        <f t="shared" si="2"/>
        <v>8384.2800000000007</v>
      </c>
      <c r="L49" s="27">
        <v>8384.2800000000007</v>
      </c>
      <c r="M49" s="27"/>
      <c r="N49" s="1"/>
      <c r="O49" s="27">
        <f t="shared" si="1"/>
        <v>0</v>
      </c>
      <c r="P49" s="27"/>
      <c r="Q49" s="27"/>
      <c r="R49" s="20"/>
    </row>
    <row r="50" spans="1:38" s="28" customFormat="1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7</v>
      </c>
      <c r="I50" s="1">
        <v>2</v>
      </c>
      <c r="J50" s="26">
        <v>2</v>
      </c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31"/>
    </row>
    <row r="51" spans="1:3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15</v>
      </c>
      <c r="I51" s="1">
        <v>14</v>
      </c>
      <c r="J51" s="26">
        <v>16</v>
      </c>
      <c r="K51" s="27">
        <f t="shared" si="2"/>
        <v>6913.6</v>
      </c>
      <c r="L51" s="27">
        <v>6913.6</v>
      </c>
      <c r="M51" s="27"/>
      <c r="N51" s="1">
        <v>8</v>
      </c>
      <c r="O51" s="27">
        <f t="shared" si="1"/>
        <v>21680.73</v>
      </c>
      <c r="P51" s="27">
        <f>6837.93+3382.02+3633.83+6541.43+1285.52</f>
        <v>21680.73</v>
      </c>
      <c r="Q51" s="27"/>
      <c r="R51" s="20"/>
    </row>
    <row r="52" spans="1:38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f t="shared" si="2"/>
        <v>0</v>
      </c>
      <c r="L53" s="27"/>
      <c r="M53" s="27"/>
      <c r="N53" s="1">
        <v>10</v>
      </c>
      <c r="O53" s="27">
        <f t="shared" si="1"/>
        <v>0</v>
      </c>
      <c r="P53" s="27"/>
      <c r="Q53" s="27"/>
      <c r="R53" s="20"/>
    </row>
    <row r="54" spans="1:38" s="7" customFormat="1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20</v>
      </c>
      <c r="I54" s="1">
        <v>10</v>
      </c>
      <c r="J54" s="26">
        <v>10</v>
      </c>
      <c r="K54" s="27">
        <f t="shared" si="2"/>
        <v>0</v>
      </c>
      <c r="L54" s="27"/>
      <c r="M54" s="27"/>
      <c r="N54" s="1">
        <v>6</v>
      </c>
      <c r="O54" s="27">
        <f t="shared" si="1"/>
        <v>35131.58</v>
      </c>
      <c r="P54" s="27">
        <f>10258.95+12559.55+4924.15+7388.93</f>
        <v>35131.58</v>
      </c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11</v>
      </c>
      <c r="I55" s="2">
        <v>1</v>
      </c>
      <c r="J55" s="26">
        <v>1</v>
      </c>
      <c r="K55" s="27">
        <f t="shared" si="2"/>
        <v>0</v>
      </c>
      <c r="L55" s="27"/>
      <c r="M55" s="27"/>
      <c r="N55" s="2">
        <v>2</v>
      </c>
      <c r="O55" s="27">
        <f t="shared" si="1"/>
        <v>4052.6</v>
      </c>
      <c r="P55" s="27">
        <v>4052.6</v>
      </c>
      <c r="Q55" s="27"/>
      <c r="R55" s="20"/>
    </row>
    <row r="56" spans="1:38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v>0</v>
      </c>
      <c r="L56" s="27"/>
      <c r="M56" s="27"/>
      <c r="N56" s="2"/>
      <c r="O56" s="27">
        <v>0</v>
      </c>
      <c r="P56" s="27"/>
      <c r="Q56" s="27"/>
      <c r="R56" s="20"/>
    </row>
    <row r="57" spans="1:38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17</v>
      </c>
      <c r="I57" s="2">
        <v>1</v>
      </c>
      <c r="J57" s="26">
        <v>1</v>
      </c>
      <c r="K57" s="27">
        <f t="shared" si="2"/>
        <v>0</v>
      </c>
      <c r="L57" s="27"/>
      <c r="M57" s="27"/>
      <c r="N57" s="2"/>
      <c r="O57" s="27">
        <f t="shared" si="1"/>
        <v>0</v>
      </c>
      <c r="P57" s="27"/>
      <c r="Q57" s="27"/>
      <c r="R57" s="20"/>
    </row>
    <row r="58" spans="1:38" s="8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15</v>
      </c>
      <c r="I59" s="82"/>
      <c r="J59" s="26"/>
      <c r="K59" s="27">
        <f t="shared" si="2"/>
        <v>0</v>
      </c>
      <c r="L59" s="83"/>
      <c r="M59" s="83"/>
      <c r="N59" s="26"/>
      <c r="O59" s="27">
        <f t="shared" si="1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39</v>
      </c>
      <c r="I60" s="26">
        <v>15</v>
      </c>
      <c r="J60" s="26">
        <v>15</v>
      </c>
      <c r="K60" s="27">
        <f t="shared" si="2"/>
        <v>12981.51</v>
      </c>
      <c r="L60" s="83">
        <v>12981.51</v>
      </c>
      <c r="M60" s="83"/>
      <c r="N60" s="26"/>
      <c r="O60" s="27">
        <f t="shared" si="1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7" customFormat="1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33</v>
      </c>
      <c r="I61" s="1">
        <v>21</v>
      </c>
      <c r="J61" s="26">
        <v>21</v>
      </c>
      <c r="K61" s="27">
        <f t="shared" si="2"/>
        <v>16237.82</v>
      </c>
      <c r="L61" s="27">
        <f>14443.96+1793.86</f>
        <v>16237.82</v>
      </c>
      <c r="M61" s="27"/>
      <c r="N61" s="1">
        <v>16</v>
      </c>
      <c r="O61" s="27">
        <f t="shared" si="1"/>
        <v>28261.599999999999</v>
      </c>
      <c r="P61" s="27">
        <f>2817.33+2170.4+4145.27+17829.52+1299.08</f>
        <v>28261.599999999999</v>
      </c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23</v>
      </c>
      <c r="I62" s="1">
        <v>14</v>
      </c>
      <c r="J62" s="26">
        <v>16</v>
      </c>
      <c r="K62" s="27">
        <f t="shared" si="2"/>
        <v>1602.98</v>
      </c>
      <c r="L62" s="27">
        <f>1602.98</f>
        <v>1602.98</v>
      </c>
      <c r="M62" s="27"/>
      <c r="N62" s="1">
        <v>12</v>
      </c>
      <c r="O62" s="27">
        <f t="shared" si="1"/>
        <v>37111.350000000006</v>
      </c>
      <c r="P62" s="27">
        <f>3558.78+6542.54+4585.89+4121.56+300+16804.42+1198.16</f>
        <v>37111.350000000006</v>
      </c>
      <c r="Q62" s="27"/>
      <c r="R62" s="20"/>
    </row>
    <row r="63" spans="1:38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18</v>
      </c>
      <c r="I63" s="1">
        <v>4</v>
      </c>
      <c r="J63" s="26">
        <v>4</v>
      </c>
      <c r="K63" s="27">
        <f t="shared" si="2"/>
        <v>3347.8</v>
      </c>
      <c r="L63" s="27"/>
      <c r="M63" s="27">
        <v>3347.8</v>
      </c>
      <c r="N63" s="1">
        <v>11</v>
      </c>
      <c r="O63" s="27">
        <f t="shared" si="1"/>
        <v>22553.599999999999</v>
      </c>
      <c r="P63" s="27">
        <v>12686.4</v>
      </c>
      <c r="Q63" s="27">
        <v>9867.1999999999989</v>
      </c>
      <c r="R63" s="20"/>
    </row>
    <row r="64" spans="1:38" s="7" customFormat="1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15</v>
      </c>
      <c r="K64" s="27">
        <f t="shared" si="2"/>
        <v>0</v>
      </c>
      <c r="L64" s="27"/>
      <c r="M64" s="27"/>
      <c r="N64" s="1">
        <v>21</v>
      </c>
      <c r="O64" s="27">
        <f t="shared" si="1"/>
        <v>26863.22</v>
      </c>
      <c r="P64" s="27">
        <f>3793.8+8092.08+9670.2+5307.14</f>
        <v>26863.22</v>
      </c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f t="shared" si="2"/>
        <v>2114.4</v>
      </c>
      <c r="L65" s="27"/>
      <c r="M65" s="27">
        <v>2114.4</v>
      </c>
      <c r="N65" s="1">
        <v>19</v>
      </c>
      <c r="O65" s="27">
        <f t="shared" si="1"/>
        <v>25742.82</v>
      </c>
      <c r="P65" s="27">
        <v>24157.02</v>
      </c>
      <c r="Q65" s="27">
        <v>1585.7999999999993</v>
      </c>
      <c r="R65" s="20"/>
    </row>
    <row r="66" spans="1:38" s="7" customFormat="1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5</v>
      </c>
      <c r="J66" s="26">
        <v>5</v>
      </c>
      <c r="K66" s="27">
        <f t="shared" si="2"/>
        <v>0</v>
      </c>
      <c r="L66" s="27"/>
      <c r="M66" s="27"/>
      <c r="N66" s="1">
        <v>5</v>
      </c>
      <c r="O66" s="27">
        <f t="shared" si="1"/>
        <v>7690.6</v>
      </c>
      <c r="P66" s="27">
        <f>1487.48+1918.48+4284.64</f>
        <v>7690.6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11</v>
      </c>
      <c r="I67" s="1">
        <v>9</v>
      </c>
      <c r="J67" s="26">
        <v>9</v>
      </c>
      <c r="K67" s="27">
        <f t="shared" si="2"/>
        <v>0</v>
      </c>
      <c r="L67" s="27"/>
      <c r="M67" s="27"/>
      <c r="N67" s="1">
        <v>9</v>
      </c>
      <c r="O67" s="27">
        <f t="shared" si="1"/>
        <v>85225.840000000011</v>
      </c>
      <c r="P67" s="27">
        <f>1353.94+9352.06+1852.4+3552.19+1226.79</f>
        <v>17337.38</v>
      </c>
      <c r="Q67" s="27">
        <v>67888.460000000006</v>
      </c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f t="shared" si="2"/>
        <v>0</v>
      </c>
      <c r="L68" s="27"/>
      <c r="M68" s="27"/>
      <c r="N68" s="1">
        <v>4</v>
      </c>
      <c r="O68" s="27">
        <f t="shared" si="1"/>
        <v>2114.4</v>
      </c>
      <c r="P68" s="27">
        <v>2114.4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15</v>
      </c>
      <c r="I69" s="1">
        <v>7</v>
      </c>
      <c r="J69" s="26">
        <v>8</v>
      </c>
      <c r="K69" s="27">
        <f t="shared" si="2"/>
        <v>1046.6300000000001</v>
      </c>
      <c r="L69" s="27"/>
      <c r="M69" s="27">
        <f>1046.63</f>
        <v>1046.6300000000001</v>
      </c>
      <c r="N69" s="1">
        <v>6</v>
      </c>
      <c r="O69" s="27">
        <f t="shared" si="1"/>
        <v>6874.29</v>
      </c>
      <c r="P69" s="27">
        <f>6698.09+176.2</f>
        <v>6874.29</v>
      </c>
      <c r="Q69" s="27"/>
      <c r="R69" s="20"/>
    </row>
    <row r="70" spans="1:38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11</v>
      </c>
      <c r="I70" s="2">
        <v>4</v>
      </c>
      <c r="J70" s="26">
        <v>4</v>
      </c>
      <c r="K70" s="27">
        <f t="shared" si="2"/>
        <v>0</v>
      </c>
      <c r="L70" s="27"/>
      <c r="M70" s="27"/>
      <c r="N70" s="2">
        <v>5</v>
      </c>
      <c r="O70" s="27">
        <f t="shared" si="1"/>
        <v>0</v>
      </c>
      <c r="P70" s="27"/>
      <c r="Q70" s="27"/>
      <c r="R70" s="20"/>
    </row>
    <row r="71" spans="1:3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28</v>
      </c>
      <c r="I71" s="2">
        <v>19</v>
      </c>
      <c r="J71" s="26">
        <v>20</v>
      </c>
      <c r="K71" s="27">
        <f t="shared" si="2"/>
        <v>3127.55</v>
      </c>
      <c r="L71" s="27">
        <v>3127.55</v>
      </c>
      <c r="M71" s="27"/>
      <c r="N71" s="2"/>
      <c r="O71" s="27">
        <f t="shared" si="1"/>
        <v>0</v>
      </c>
      <c r="P71" s="27"/>
      <c r="Q71" s="27"/>
      <c r="R71" s="20"/>
    </row>
    <row r="72" spans="1:38" s="7" customFormat="1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35</v>
      </c>
      <c r="I72" s="1">
        <v>17</v>
      </c>
      <c r="J72" s="26">
        <v>17</v>
      </c>
      <c r="K72" s="27">
        <f t="shared" si="2"/>
        <v>2199.6799999999998</v>
      </c>
      <c r="L72" s="27">
        <f>2199.68</f>
        <v>2199.6799999999998</v>
      </c>
      <c r="M72" s="27"/>
      <c r="N72" s="1">
        <v>17</v>
      </c>
      <c r="O72" s="27">
        <f t="shared" si="1"/>
        <v>87678.12</v>
      </c>
      <c r="P72" s="27">
        <f>8536.41+1900.55+1810.72+5409.65+1602.49+6411.71+6033.69+27487.21+5155.58+12470.56+10859.55</f>
        <v>87678.12</v>
      </c>
      <c r="Q72" s="27"/>
      <c r="R72" s="20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1:38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f t="shared" si="2"/>
        <v>0</v>
      </c>
      <c r="L73" s="27"/>
      <c r="M73" s="27"/>
      <c r="N73" s="2"/>
      <c r="O73" s="27">
        <f t="shared" si="1"/>
        <v>0</v>
      </c>
      <c r="P73" s="27"/>
      <c r="Q73" s="27"/>
      <c r="R73" s="20"/>
    </row>
    <row r="74" spans="1:3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31</v>
      </c>
      <c r="I74" s="1">
        <v>20</v>
      </c>
      <c r="J74" s="26">
        <v>20</v>
      </c>
      <c r="K74" s="27">
        <f t="shared" si="2"/>
        <v>16430.45</v>
      </c>
      <c r="L74" s="27">
        <f>607.08+2732.34</f>
        <v>3339.42</v>
      </c>
      <c r="M74" s="27">
        <v>13091.03</v>
      </c>
      <c r="N74" s="1">
        <v>8</v>
      </c>
      <c r="O74" s="27">
        <f t="shared" si="1"/>
        <v>28062.410000000003</v>
      </c>
      <c r="P74" s="27">
        <f>4688.79+16818.4+3873.08</f>
        <v>25380.270000000004</v>
      </c>
      <c r="Q74" s="27">
        <f>2682.14</f>
        <v>2682.14</v>
      </c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476</v>
      </c>
      <c r="G75" s="23" t="s">
        <v>124</v>
      </c>
      <c r="H75" s="25">
        <v>0</v>
      </c>
      <c r="I75" s="1"/>
      <c r="J75" s="26"/>
      <c r="K75" s="27">
        <f t="shared" si="2"/>
        <v>0</v>
      </c>
      <c r="L75" s="27"/>
      <c r="M75" s="27"/>
      <c r="N75" s="1">
        <v>1</v>
      </c>
      <c r="O75" s="27">
        <f t="shared" si="1"/>
        <v>2146.4</v>
      </c>
      <c r="P75" s="27">
        <v>2146.4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11</v>
      </c>
      <c r="I76" s="1">
        <v>1</v>
      </c>
      <c r="J76" s="26">
        <v>1</v>
      </c>
      <c r="K76" s="27">
        <f t="shared" si="2"/>
        <v>0</v>
      </c>
      <c r="L76" s="27"/>
      <c r="M76" s="27"/>
      <c r="N76" s="1">
        <v>8</v>
      </c>
      <c r="O76" s="27">
        <f t="shared" si="1"/>
        <v>34947.040000000001</v>
      </c>
      <c r="P76" s="27">
        <v>34947.040000000001</v>
      </c>
      <c r="Q76" s="27"/>
      <c r="R76" s="20"/>
    </row>
    <row r="77" spans="1:38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f t="shared" si="2"/>
        <v>0</v>
      </c>
      <c r="L77" s="27"/>
      <c r="M77" s="27"/>
      <c r="N77" s="1">
        <v>10</v>
      </c>
      <c r="O77" s="27">
        <f t="shared" si="1"/>
        <v>9489.91</v>
      </c>
      <c r="P77" s="27">
        <v>9489.91</v>
      </c>
      <c r="Q77" s="27"/>
      <c r="R77" s="20"/>
    </row>
    <row r="78" spans="1:3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18</v>
      </c>
      <c r="I78" s="1">
        <v>8</v>
      </c>
      <c r="J78" s="26">
        <v>8</v>
      </c>
      <c r="K78" s="27">
        <f t="shared" si="2"/>
        <v>4400.6000000000004</v>
      </c>
      <c r="L78" s="27">
        <v>4400.6000000000004</v>
      </c>
      <c r="M78" s="27"/>
      <c r="N78" s="1">
        <v>17</v>
      </c>
      <c r="O78" s="27">
        <f t="shared" si="1"/>
        <v>46129.759999999995</v>
      </c>
      <c r="P78" s="27">
        <f>5457.7+9775.17+3631.18+27265.71</f>
        <v>46129.759999999995</v>
      </c>
      <c r="Q78" s="27"/>
      <c r="R78" s="20"/>
    </row>
    <row r="79" spans="1:38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18</v>
      </c>
      <c r="I79" s="2"/>
      <c r="J79" s="26"/>
      <c r="K79" s="27">
        <f t="shared" si="2"/>
        <v>0</v>
      </c>
      <c r="L79" s="27"/>
      <c r="M79" s="27"/>
      <c r="N79" s="2">
        <v>13</v>
      </c>
      <c r="O79" s="27">
        <f t="shared" si="1"/>
        <v>9128.92</v>
      </c>
      <c r="P79" s="27">
        <v>9128.92</v>
      </c>
      <c r="Q79" s="27"/>
      <c r="R79" s="20"/>
    </row>
    <row r="80" spans="1:38" s="17" customFormat="1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f t="shared" si="2"/>
        <v>0</v>
      </c>
      <c r="L80" s="27"/>
      <c r="M80" s="27"/>
      <c r="N80" s="2">
        <v>5</v>
      </c>
      <c r="O80" s="27">
        <f t="shared" si="1"/>
        <v>0</v>
      </c>
      <c r="P80" s="27"/>
      <c r="Q80" s="27"/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9</v>
      </c>
      <c r="I81" s="1"/>
      <c r="J81" s="26"/>
      <c r="K81" s="27">
        <f t="shared" si="2"/>
        <v>0</v>
      </c>
      <c r="L81" s="27"/>
      <c r="M81" s="27"/>
      <c r="N81" s="1">
        <v>11</v>
      </c>
      <c r="O81" s="27">
        <f t="shared" si="1"/>
        <v>14624.6</v>
      </c>
      <c r="P81" s="27">
        <v>11805.4</v>
      </c>
      <c r="Q81" s="27">
        <v>2819.2000000000007</v>
      </c>
      <c r="R81" s="20"/>
    </row>
    <row r="82" spans="1:3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12</v>
      </c>
      <c r="I82" s="1"/>
      <c r="J82" s="26"/>
      <c r="K82" s="27">
        <f t="shared" si="2"/>
        <v>0</v>
      </c>
      <c r="L82" s="27"/>
      <c r="M82" s="27"/>
      <c r="N82" s="1"/>
      <c r="O82" s="27">
        <f t="shared" si="1"/>
        <v>0</v>
      </c>
      <c r="P82" s="27"/>
      <c r="Q82" s="27"/>
      <c r="R82" s="20"/>
    </row>
    <row r="83" spans="1:38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10</v>
      </c>
      <c r="I83" s="1"/>
      <c r="J83" s="26"/>
      <c r="K83" s="27">
        <f t="shared" si="2"/>
        <v>0</v>
      </c>
      <c r="L83" s="27"/>
      <c r="M83" s="27"/>
      <c r="N83" s="1"/>
      <c r="O83" s="27">
        <f t="shared" si="1"/>
        <v>0</v>
      </c>
      <c r="P83" s="27"/>
      <c r="Q83" s="27"/>
      <c r="R83" s="20"/>
    </row>
    <row r="84" spans="1:38" s="17" customFormat="1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63</v>
      </c>
      <c r="I84" s="1">
        <v>28</v>
      </c>
      <c r="J84" s="26">
        <v>28</v>
      </c>
      <c r="K84" s="27">
        <f t="shared" si="2"/>
        <v>26106.489999999998</v>
      </c>
      <c r="L84" s="27">
        <f>5547.55+20558.94</f>
        <v>26106.489999999998</v>
      </c>
      <c r="M84" s="27"/>
      <c r="N84" s="1">
        <v>2</v>
      </c>
      <c r="O84" s="27">
        <f t="shared" si="1"/>
        <v>9777.93</v>
      </c>
      <c r="P84" s="27">
        <f>6215.87+3562.06</f>
        <v>9777.93</v>
      </c>
      <c r="Q84" s="27"/>
      <c r="R84" s="20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:38" s="7" customFormat="1" ht="15" customHeight="1">
      <c r="A85" s="24">
        <v>42</v>
      </c>
      <c r="B85" s="23" t="s">
        <v>65</v>
      </c>
      <c r="C85" s="24" t="s">
        <v>18</v>
      </c>
      <c r="D85" s="23"/>
      <c r="E85" s="23" t="s">
        <v>66</v>
      </c>
      <c r="F85" s="23" t="s">
        <v>409</v>
      </c>
      <c r="G85" s="23" t="s">
        <v>142</v>
      </c>
      <c r="H85" s="25">
        <v>12</v>
      </c>
      <c r="I85" s="1">
        <v>2</v>
      </c>
      <c r="J85" s="26">
        <v>4</v>
      </c>
      <c r="K85" s="27">
        <f t="shared" si="2"/>
        <v>0</v>
      </c>
      <c r="L85" s="27"/>
      <c r="M85" s="27"/>
      <c r="N85" s="1">
        <v>9</v>
      </c>
      <c r="O85" s="27">
        <f t="shared" si="1"/>
        <v>7945.96</v>
      </c>
      <c r="P85" s="27">
        <f>477.41+7468.55</f>
        <v>7945.96</v>
      </c>
      <c r="Q85" s="27"/>
      <c r="R85" s="20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 spans="1:38" ht="15" customHeight="1">
      <c r="A86" s="24"/>
      <c r="B86" s="23" t="s">
        <v>65</v>
      </c>
      <c r="C86" s="24" t="s">
        <v>18</v>
      </c>
      <c r="D86" s="23"/>
      <c r="E86" s="23" t="s">
        <v>66</v>
      </c>
      <c r="F86" s="23" t="s">
        <v>123</v>
      </c>
      <c r="G86" s="23" t="s">
        <v>136</v>
      </c>
      <c r="H86" s="25">
        <v>0</v>
      </c>
      <c r="I86" s="2"/>
      <c r="J86" s="26"/>
      <c r="K86" s="27">
        <f t="shared" si="2"/>
        <v>0</v>
      </c>
      <c r="L86" s="27"/>
      <c r="M86" s="27"/>
      <c r="N86" s="2"/>
      <c r="O86" s="27">
        <f t="shared" si="1"/>
        <v>0</v>
      </c>
      <c r="P86" s="27"/>
      <c r="Q86" s="27"/>
      <c r="R86" s="20"/>
    </row>
    <row r="87" spans="1:38" s="7" customFormat="1" ht="15" customHeight="1">
      <c r="A87" s="24">
        <v>43</v>
      </c>
      <c r="B87" s="23" t="s">
        <v>67</v>
      </c>
      <c r="C87" s="24" t="s">
        <v>18</v>
      </c>
      <c r="D87" s="23"/>
      <c r="E87" s="23" t="s">
        <v>19</v>
      </c>
      <c r="F87" s="23" t="s">
        <v>410</v>
      </c>
      <c r="G87" s="23" t="s">
        <v>142</v>
      </c>
      <c r="H87" s="25">
        <v>35</v>
      </c>
      <c r="I87" s="1">
        <v>31</v>
      </c>
      <c r="J87" s="26">
        <v>32</v>
      </c>
      <c r="K87" s="27">
        <f t="shared" ref="K87:K155" si="3">L87+M87</f>
        <v>22987.47</v>
      </c>
      <c r="L87" s="27">
        <f>5061.86+7445.21</f>
        <v>12507.07</v>
      </c>
      <c r="M87" s="27">
        <v>10480.4</v>
      </c>
      <c r="N87" s="1">
        <v>14</v>
      </c>
      <c r="O87" s="27">
        <f t="shared" si="1"/>
        <v>17059.530000000002</v>
      </c>
      <c r="P87" s="27">
        <f>1369.13+3431.04+7740.64+2536.47+920.62+1061.63</f>
        <v>17059.530000000002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67</v>
      </c>
      <c r="C88" s="24" t="s">
        <v>18</v>
      </c>
      <c r="D88" s="23"/>
      <c r="E88" s="23" t="s">
        <v>104</v>
      </c>
      <c r="F88" s="23" t="s">
        <v>123</v>
      </c>
      <c r="G88" s="23" t="s">
        <v>122</v>
      </c>
      <c r="H88" s="25">
        <v>0</v>
      </c>
      <c r="I88" s="1"/>
      <c r="J88" s="26"/>
      <c r="K88" s="27">
        <f t="shared" si="3"/>
        <v>0</v>
      </c>
      <c r="L88" s="27"/>
      <c r="M88" s="27"/>
      <c r="N88" s="1"/>
      <c r="O88" s="27">
        <f t="shared" si="1"/>
        <v>0</v>
      </c>
      <c r="P88" s="27"/>
      <c r="Q88" s="27"/>
      <c r="R88" s="20"/>
    </row>
    <row r="89" spans="1:38" ht="15" customHeight="1">
      <c r="A89" s="24">
        <v>44</v>
      </c>
      <c r="B89" s="23" t="s">
        <v>68</v>
      </c>
      <c r="C89" s="24" t="s">
        <v>18</v>
      </c>
      <c r="D89" s="24"/>
      <c r="E89" s="23" t="s">
        <v>50</v>
      </c>
      <c r="F89" s="23" t="s">
        <v>411</v>
      </c>
      <c r="G89" s="23" t="s">
        <v>142</v>
      </c>
      <c r="H89" s="25">
        <v>9</v>
      </c>
      <c r="I89" s="1"/>
      <c r="J89" s="26"/>
      <c r="K89" s="27">
        <f t="shared" si="3"/>
        <v>0</v>
      </c>
      <c r="L89" s="27"/>
      <c r="M89" s="27"/>
      <c r="N89" s="1"/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68</v>
      </c>
      <c r="C90" s="24" t="s">
        <v>18</v>
      </c>
      <c r="D90" s="23"/>
      <c r="E90" s="23" t="s">
        <v>50</v>
      </c>
      <c r="F90" s="23" t="s">
        <v>123</v>
      </c>
      <c r="G90" s="23" t="s">
        <v>136</v>
      </c>
      <c r="H90" s="25">
        <v>0</v>
      </c>
      <c r="I90" s="2"/>
      <c r="J90" s="26"/>
      <c r="K90" s="27">
        <f t="shared" si="3"/>
        <v>0</v>
      </c>
      <c r="L90" s="27"/>
      <c r="M90" s="27"/>
      <c r="N90" s="2"/>
      <c r="O90" s="27">
        <f t="shared" si="1"/>
        <v>0</v>
      </c>
      <c r="P90" s="27"/>
      <c r="Q90" s="27"/>
      <c r="R90" s="20"/>
    </row>
    <row r="91" spans="1:38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292</v>
      </c>
      <c r="G91" s="23" t="s">
        <v>124</v>
      </c>
      <c r="H91" s="25">
        <v>0</v>
      </c>
      <c r="I91" s="2"/>
      <c r="J91" s="26"/>
      <c r="K91" s="27">
        <f t="shared" si="3"/>
        <v>0</v>
      </c>
      <c r="L91" s="27"/>
      <c r="M91" s="27"/>
      <c r="N91" s="2"/>
      <c r="O91" s="27">
        <f t="shared" si="1"/>
        <v>0</v>
      </c>
      <c r="P91" s="27"/>
      <c r="Q91" s="27"/>
      <c r="R91" s="20"/>
    </row>
    <row r="92" spans="1:38" ht="15" customHeight="1">
      <c r="A92" s="24">
        <v>45</v>
      </c>
      <c r="B92" s="23" t="s">
        <v>127</v>
      </c>
      <c r="C92" s="24" t="s">
        <v>18</v>
      </c>
      <c r="D92" s="23"/>
      <c r="E92" s="23" t="s">
        <v>41</v>
      </c>
      <c r="F92" s="23" t="s">
        <v>412</v>
      </c>
      <c r="G92" s="23" t="s">
        <v>142</v>
      </c>
      <c r="H92" s="25">
        <v>15</v>
      </c>
      <c r="I92" s="2">
        <v>9</v>
      </c>
      <c r="J92" s="26">
        <v>10</v>
      </c>
      <c r="K92" s="27">
        <f t="shared" si="3"/>
        <v>0</v>
      </c>
      <c r="L92" s="27"/>
      <c r="M92" s="27"/>
      <c r="N92" s="2">
        <v>7</v>
      </c>
      <c r="O92" s="27">
        <f t="shared" si="1"/>
        <v>4981.9400000000005</v>
      </c>
      <c r="P92" s="27">
        <f>3045.34+1936.6</f>
        <v>4981.9400000000005</v>
      </c>
      <c r="Q92" s="27"/>
      <c r="R92" s="20"/>
    </row>
    <row r="93" spans="1:38" ht="15" customHeight="1">
      <c r="A93" s="24"/>
      <c r="B93" s="23" t="s">
        <v>127</v>
      </c>
      <c r="C93" s="24" t="s">
        <v>18</v>
      </c>
      <c r="D93" s="23"/>
      <c r="E93" s="23" t="s">
        <v>50</v>
      </c>
      <c r="F93" s="23" t="s">
        <v>364</v>
      </c>
      <c r="G93" s="23" t="s">
        <v>136</v>
      </c>
      <c r="H93" s="25">
        <v>11</v>
      </c>
      <c r="I93" s="2">
        <v>5</v>
      </c>
      <c r="J93" s="26">
        <v>5</v>
      </c>
      <c r="K93" s="27">
        <f t="shared" si="3"/>
        <v>0</v>
      </c>
      <c r="L93" s="27"/>
      <c r="M93" s="27"/>
      <c r="N93" s="2">
        <v>19</v>
      </c>
      <c r="O93" s="27">
        <f t="shared" si="1"/>
        <v>25636.7</v>
      </c>
      <c r="P93" s="27">
        <v>25636.7</v>
      </c>
      <c r="Q93" s="27"/>
      <c r="R93" s="20"/>
    </row>
    <row r="94" spans="1:38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375</v>
      </c>
      <c r="G94" s="23" t="s">
        <v>124</v>
      </c>
      <c r="H94" s="25">
        <v>1</v>
      </c>
      <c r="I94" s="2"/>
      <c r="J94" s="26"/>
      <c r="K94" s="27">
        <f t="shared" si="3"/>
        <v>0</v>
      </c>
      <c r="L94" s="27"/>
      <c r="M94" s="27"/>
      <c r="N94" s="2">
        <v>2</v>
      </c>
      <c r="O94" s="27">
        <f t="shared" ref="O94:O194" si="4">P94+Q94</f>
        <v>0</v>
      </c>
      <c r="P94" s="27"/>
      <c r="Q94" s="27"/>
      <c r="R94" s="20"/>
    </row>
    <row r="95" spans="1:38" s="7" customFormat="1" ht="15" customHeight="1">
      <c r="A95" s="74">
        <v>46</v>
      </c>
      <c r="B95" s="77" t="s">
        <v>69</v>
      </c>
      <c r="C95" s="74" t="s">
        <v>18</v>
      </c>
      <c r="D95" s="77"/>
      <c r="E95" s="77" t="s">
        <v>19</v>
      </c>
      <c r="F95" s="77" t="s">
        <v>292</v>
      </c>
      <c r="G95" s="77" t="s">
        <v>142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s="7" customFormat="1" ht="15.75" customHeight="1">
      <c r="A96" s="74">
        <v>47</v>
      </c>
      <c r="B96" s="77" t="s">
        <v>70</v>
      </c>
      <c r="C96" s="74" t="s">
        <v>18</v>
      </c>
      <c r="D96" s="77"/>
      <c r="E96" s="77" t="s">
        <v>19</v>
      </c>
      <c r="F96" s="77" t="s">
        <v>413</v>
      </c>
      <c r="G96" s="77" t="s">
        <v>142</v>
      </c>
      <c r="H96" s="25">
        <v>12</v>
      </c>
      <c r="I96" s="1">
        <v>8</v>
      </c>
      <c r="J96" s="26">
        <v>8</v>
      </c>
      <c r="K96" s="27">
        <f t="shared" si="3"/>
        <v>2262.4</v>
      </c>
      <c r="L96" s="27">
        <v>2262.4</v>
      </c>
      <c r="M96" s="27"/>
      <c r="N96" s="1">
        <v>6</v>
      </c>
      <c r="O96" s="27">
        <f t="shared" si="4"/>
        <v>9533.19</v>
      </c>
      <c r="P96" s="27">
        <f>3806.1+5727.09</f>
        <v>9533.19</v>
      </c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ht="15" customHeight="1">
      <c r="A97" s="74">
        <v>48</v>
      </c>
      <c r="B97" s="77" t="s">
        <v>71</v>
      </c>
      <c r="C97" s="74" t="s">
        <v>18</v>
      </c>
      <c r="D97" s="77"/>
      <c r="E97" s="77" t="s">
        <v>32</v>
      </c>
      <c r="F97" s="77" t="s">
        <v>292</v>
      </c>
      <c r="G97" s="77" t="s">
        <v>121</v>
      </c>
      <c r="H97" s="25">
        <v>0</v>
      </c>
      <c r="I97" s="1"/>
      <c r="J97" s="26"/>
      <c r="K97" s="27">
        <f t="shared" si="3"/>
        <v>0</v>
      </c>
      <c r="L97" s="27"/>
      <c r="M97" s="27"/>
      <c r="N97" s="1">
        <v>2</v>
      </c>
      <c r="O97" s="27">
        <f t="shared" si="4"/>
        <v>10878.949999999999</v>
      </c>
      <c r="P97" s="27">
        <f>1647.47+9231.48</f>
        <v>10878.949999999999</v>
      </c>
      <c r="Q97" s="27"/>
      <c r="R97" s="20"/>
    </row>
    <row r="98" spans="1:38" ht="15" customHeight="1">
      <c r="A98" s="24"/>
      <c r="B98" s="23" t="s">
        <v>71</v>
      </c>
      <c r="C98" s="24" t="s">
        <v>18</v>
      </c>
      <c r="D98" s="23"/>
      <c r="E98" s="23" t="s">
        <v>32</v>
      </c>
      <c r="F98" s="23" t="s">
        <v>292</v>
      </c>
      <c r="G98" s="23" t="s">
        <v>122</v>
      </c>
      <c r="H98" s="25">
        <v>0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</row>
    <row r="99" spans="1:38" ht="15" customHeight="1">
      <c r="A99" s="24">
        <v>49</v>
      </c>
      <c r="B99" s="23" t="s">
        <v>72</v>
      </c>
      <c r="C99" s="24" t="s">
        <v>18</v>
      </c>
      <c r="D99" s="23"/>
      <c r="E99" s="23" t="s">
        <v>19</v>
      </c>
      <c r="F99" s="23" t="s">
        <v>268</v>
      </c>
      <c r="G99" s="23" t="s">
        <v>142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</row>
    <row r="100" spans="1:38" ht="15" customHeight="1">
      <c r="A100" s="24"/>
      <c r="B100" s="23" t="s">
        <v>72</v>
      </c>
      <c r="C100" s="24" t="s">
        <v>18</v>
      </c>
      <c r="D100" s="23"/>
      <c r="E100" s="23" t="s">
        <v>19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50</v>
      </c>
      <c r="B101" s="23" t="s">
        <v>73</v>
      </c>
      <c r="C101" s="24" t="s">
        <v>18</v>
      </c>
      <c r="D101" s="23"/>
      <c r="E101" s="23" t="s">
        <v>19</v>
      </c>
      <c r="F101" s="23"/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7" customFormat="1" ht="15" customHeight="1">
      <c r="A102" s="24">
        <v>51</v>
      </c>
      <c r="B102" s="23" t="s">
        <v>74</v>
      </c>
      <c r="C102" s="24" t="s">
        <v>18</v>
      </c>
      <c r="D102" s="23"/>
      <c r="E102" s="23" t="s">
        <v>19</v>
      </c>
      <c r="F102" s="23" t="s">
        <v>414</v>
      </c>
      <c r="G102" s="23" t="s">
        <v>142</v>
      </c>
      <c r="H102" s="25">
        <v>24</v>
      </c>
      <c r="I102" s="1">
        <v>14</v>
      </c>
      <c r="J102" s="26">
        <v>15</v>
      </c>
      <c r="K102" s="27">
        <f t="shared" si="3"/>
        <v>5328.29</v>
      </c>
      <c r="L102" s="27">
        <f>2177.83+3150.46</f>
        <v>5328.29</v>
      </c>
      <c r="M102" s="27"/>
      <c r="N102" s="1">
        <v>10</v>
      </c>
      <c r="O102" s="27">
        <f t="shared" si="4"/>
        <v>31383.29</v>
      </c>
      <c r="P102" s="27">
        <f>8926.48+3667.84+9102.27+7087.42+2599.28</f>
        <v>31383.29</v>
      </c>
      <c r="Q102" s="27"/>
      <c r="R102" s="20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 spans="1:38" s="7" customFormat="1" ht="15" customHeight="1">
      <c r="A103" s="24">
        <v>52</v>
      </c>
      <c r="B103" s="23" t="s">
        <v>312</v>
      </c>
      <c r="C103" s="24" t="s">
        <v>18</v>
      </c>
      <c r="D103" s="23"/>
      <c r="E103" s="23" t="s">
        <v>19</v>
      </c>
      <c r="F103" s="23" t="s">
        <v>415</v>
      </c>
      <c r="G103" s="23" t="s">
        <v>142</v>
      </c>
      <c r="H103" s="25">
        <v>13</v>
      </c>
      <c r="I103" s="1">
        <v>10</v>
      </c>
      <c r="J103" s="26">
        <v>10</v>
      </c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/>
      <c r="B104" s="23" t="s">
        <v>312</v>
      </c>
      <c r="C104" s="24" t="s">
        <v>18</v>
      </c>
      <c r="D104" s="23"/>
      <c r="E104" s="23" t="s">
        <v>304</v>
      </c>
      <c r="F104" s="23" t="s">
        <v>339</v>
      </c>
      <c r="G104" s="23" t="s">
        <v>131</v>
      </c>
      <c r="H104" s="25">
        <v>13</v>
      </c>
      <c r="I104" s="1">
        <v>3</v>
      </c>
      <c r="J104" s="26">
        <v>3</v>
      </c>
      <c r="K104" s="27">
        <f t="shared" si="3"/>
        <v>1057.2</v>
      </c>
      <c r="L104" s="27">
        <v>1057.2</v>
      </c>
      <c r="M104" s="27"/>
      <c r="N104" s="1"/>
      <c r="O104" s="27">
        <f t="shared" si="4"/>
        <v>0</v>
      </c>
      <c r="P104" s="28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/>
      <c r="B105" s="23" t="s">
        <v>312</v>
      </c>
      <c r="C105" s="24" t="s">
        <v>18</v>
      </c>
      <c r="D105" s="23"/>
      <c r="E105" s="23" t="s">
        <v>41</v>
      </c>
      <c r="F105" s="23" t="s">
        <v>467</v>
      </c>
      <c r="G105" s="23" t="s">
        <v>136</v>
      </c>
      <c r="H105" s="25">
        <v>31</v>
      </c>
      <c r="I105" s="1">
        <v>1</v>
      </c>
      <c r="J105" s="26">
        <v>1</v>
      </c>
      <c r="K105" s="27">
        <f t="shared" si="3"/>
        <v>3005.05</v>
      </c>
      <c r="L105" s="27">
        <v>3005.05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ht="15" customHeight="1">
      <c r="A106" s="24">
        <v>53</v>
      </c>
      <c r="B106" s="23" t="s">
        <v>75</v>
      </c>
      <c r="C106" s="24" t="s">
        <v>18</v>
      </c>
      <c r="D106" s="23"/>
      <c r="E106" s="23" t="s">
        <v>19</v>
      </c>
      <c r="F106" s="23" t="s">
        <v>416</v>
      </c>
      <c r="G106" s="23" t="s">
        <v>142</v>
      </c>
      <c r="H106" s="25">
        <v>18</v>
      </c>
      <c r="I106" s="1">
        <v>12</v>
      </c>
      <c r="J106" s="26">
        <v>14</v>
      </c>
      <c r="K106" s="27">
        <f t="shared" si="3"/>
        <v>2637.71</v>
      </c>
      <c r="L106" s="27">
        <f>977.91+1659.8</f>
        <v>2637.71</v>
      </c>
      <c r="M106" s="27"/>
      <c r="N106" s="1">
        <v>18</v>
      </c>
      <c r="O106" s="27">
        <f>P106+Q106</f>
        <v>81455.08</v>
      </c>
      <c r="P106" s="27">
        <f>7142.66+6007.6+11985.28+16853.32+13359.63+12185.56+13921.03</f>
        <v>81455.08</v>
      </c>
      <c r="Q106" s="27"/>
      <c r="R106" s="20"/>
    </row>
    <row r="107" spans="1:38" ht="13.15" customHeight="1">
      <c r="A107" s="24"/>
      <c r="B107" s="23" t="s">
        <v>75</v>
      </c>
      <c r="C107" s="24" t="s">
        <v>18</v>
      </c>
      <c r="D107" s="23"/>
      <c r="E107" s="23" t="s">
        <v>76</v>
      </c>
      <c r="F107" s="23" t="s">
        <v>335</v>
      </c>
      <c r="G107" s="23" t="s">
        <v>131</v>
      </c>
      <c r="H107" s="25">
        <v>23</v>
      </c>
      <c r="I107" s="1">
        <v>4</v>
      </c>
      <c r="J107" s="26">
        <v>4</v>
      </c>
      <c r="K107" s="27">
        <f t="shared" si="3"/>
        <v>0</v>
      </c>
      <c r="L107" s="27"/>
      <c r="M107" s="27"/>
      <c r="N107" s="1">
        <v>17</v>
      </c>
      <c r="O107" s="27">
        <f>P107+Q107</f>
        <v>10660.1</v>
      </c>
      <c r="P107" s="27">
        <v>10660.1</v>
      </c>
      <c r="Q107" s="27"/>
      <c r="R107" s="20"/>
    </row>
    <row r="108" spans="1:38" ht="15" customHeight="1">
      <c r="A108" s="24"/>
      <c r="B108" s="23" t="s">
        <v>140</v>
      </c>
      <c r="C108" s="24" t="s">
        <v>18</v>
      </c>
      <c r="D108" s="23"/>
      <c r="E108" s="23" t="s">
        <v>76</v>
      </c>
      <c r="F108" s="23" t="s">
        <v>377</v>
      </c>
      <c r="G108" s="23" t="s">
        <v>136</v>
      </c>
      <c r="H108" s="25">
        <v>23</v>
      </c>
      <c r="I108" s="2">
        <v>8</v>
      </c>
      <c r="J108" s="26">
        <v>8</v>
      </c>
      <c r="K108" s="27">
        <f t="shared" si="3"/>
        <v>0</v>
      </c>
      <c r="L108" s="27"/>
      <c r="M108" s="27"/>
      <c r="N108" s="2">
        <v>29</v>
      </c>
      <c r="O108" s="27">
        <f>P108+Q108</f>
        <v>76617.47</v>
      </c>
      <c r="P108" s="35">
        <v>76617.47</v>
      </c>
      <c r="Q108" s="27"/>
      <c r="R108" s="20"/>
    </row>
    <row r="109" spans="1:38" s="17" customFormat="1" ht="15" customHeight="1">
      <c r="A109" s="24">
        <v>54</v>
      </c>
      <c r="B109" s="23" t="s">
        <v>267</v>
      </c>
      <c r="C109" s="24" t="s">
        <v>18</v>
      </c>
      <c r="D109" s="23"/>
      <c r="E109" s="23" t="s">
        <v>19</v>
      </c>
      <c r="F109" s="23" t="s">
        <v>268</v>
      </c>
      <c r="G109" s="23" t="s">
        <v>142</v>
      </c>
      <c r="H109" s="25">
        <v>0</v>
      </c>
      <c r="I109" s="2"/>
      <c r="J109" s="26"/>
      <c r="K109" s="27">
        <f t="shared" si="3"/>
        <v>0</v>
      </c>
      <c r="L109" s="27"/>
      <c r="M109" s="27"/>
      <c r="N109" s="2"/>
      <c r="O109" s="27">
        <f>P109+Q109</f>
        <v>0</v>
      </c>
      <c r="P109" s="27"/>
      <c r="Q109" s="27"/>
      <c r="R109" s="20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:38" s="17" customFormat="1" ht="15" customHeight="1">
      <c r="A110" s="24"/>
      <c r="B110" s="23" t="s">
        <v>267</v>
      </c>
      <c r="C110" s="24" t="s">
        <v>18</v>
      </c>
      <c r="D110" s="23"/>
      <c r="E110" s="23" t="s">
        <v>19</v>
      </c>
      <c r="F110" s="23" t="s">
        <v>336</v>
      </c>
      <c r="G110" s="23" t="s">
        <v>131</v>
      </c>
      <c r="H110" s="25">
        <v>8</v>
      </c>
      <c r="I110" s="2">
        <v>1</v>
      </c>
      <c r="J110" s="26">
        <v>1</v>
      </c>
      <c r="K110" s="27">
        <f t="shared" si="3"/>
        <v>0</v>
      </c>
      <c r="L110" s="27"/>
      <c r="M110" s="27"/>
      <c r="N110" s="2">
        <v>4</v>
      </c>
      <c r="O110" s="27">
        <f t="shared" ref="O110:O114" si="5">P110+Q110</f>
        <v>2937.3</v>
      </c>
      <c r="P110" s="27">
        <v>2937.3</v>
      </c>
      <c r="Q110" s="27"/>
      <c r="R110" s="20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:38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455</v>
      </c>
      <c r="G111" s="23" t="s">
        <v>122</v>
      </c>
      <c r="H111" s="25">
        <v>9</v>
      </c>
      <c r="I111" s="2">
        <v>1</v>
      </c>
      <c r="J111" s="26">
        <v>1</v>
      </c>
      <c r="K111" s="27">
        <f t="shared" si="3"/>
        <v>2290.6</v>
      </c>
      <c r="L111" s="27"/>
      <c r="M111" s="27">
        <v>2290.6</v>
      </c>
      <c r="N111" s="2">
        <v>3</v>
      </c>
      <c r="O111" s="27">
        <f t="shared" si="5"/>
        <v>8545.7000000000007</v>
      </c>
      <c r="P111" s="27"/>
      <c r="Q111" s="27">
        <v>8545.7000000000007</v>
      </c>
      <c r="R111" s="20"/>
    </row>
    <row r="112" spans="1:38" ht="15" customHeight="1">
      <c r="A112" s="24">
        <v>55</v>
      </c>
      <c r="B112" s="23" t="s">
        <v>306</v>
      </c>
      <c r="C112" s="24" t="s">
        <v>30</v>
      </c>
      <c r="D112" s="23" t="s">
        <v>334</v>
      </c>
      <c r="E112" s="23" t="s">
        <v>104</v>
      </c>
      <c r="F112" s="23" t="s">
        <v>417</v>
      </c>
      <c r="G112" s="23" t="s">
        <v>142</v>
      </c>
      <c r="H112" s="25">
        <v>21</v>
      </c>
      <c r="I112" s="2">
        <v>15</v>
      </c>
      <c r="J112" s="26">
        <v>16</v>
      </c>
      <c r="K112" s="27">
        <v>0</v>
      </c>
      <c r="L112" s="27">
        <v>4342.45</v>
      </c>
      <c r="M112" s="27"/>
      <c r="N112" s="2"/>
      <c r="O112" s="27">
        <v>0</v>
      </c>
      <c r="P112" s="27"/>
      <c r="Q112" s="27"/>
      <c r="R112" s="20"/>
    </row>
    <row r="113" spans="1:38" ht="15" customHeight="1">
      <c r="A113" s="24"/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340</v>
      </c>
      <c r="G113" s="23" t="s">
        <v>131</v>
      </c>
      <c r="H113" s="25">
        <v>16</v>
      </c>
      <c r="I113" s="2">
        <v>3</v>
      </c>
      <c r="J113" s="26">
        <v>3</v>
      </c>
      <c r="K113" s="27">
        <f t="shared" si="3"/>
        <v>0</v>
      </c>
      <c r="L113" s="27"/>
      <c r="M113" s="27"/>
      <c r="N113" s="2"/>
      <c r="O113" s="27">
        <f t="shared" si="5"/>
        <v>0</v>
      </c>
      <c r="P113" s="27"/>
      <c r="Q113" s="27"/>
      <c r="R113" s="20"/>
    </row>
    <row r="114" spans="1:38" ht="15" customHeight="1">
      <c r="A114" s="24"/>
      <c r="B114" s="23" t="s">
        <v>306</v>
      </c>
      <c r="C114" s="24" t="s">
        <v>30</v>
      </c>
      <c r="D114" s="23" t="s">
        <v>307</v>
      </c>
      <c r="E114" s="23" t="s">
        <v>19</v>
      </c>
      <c r="F114" s="23" t="s">
        <v>350</v>
      </c>
      <c r="G114" s="23" t="s">
        <v>122</v>
      </c>
      <c r="H114" s="25">
        <v>10</v>
      </c>
      <c r="I114" s="2">
        <v>3</v>
      </c>
      <c r="J114" s="26">
        <v>3</v>
      </c>
      <c r="K114" s="27">
        <f t="shared" si="3"/>
        <v>528.6</v>
      </c>
      <c r="L114" s="27">
        <v>528.6</v>
      </c>
      <c r="M114" s="27"/>
      <c r="N114" s="2"/>
      <c r="O114" s="27">
        <f t="shared" si="5"/>
        <v>0</v>
      </c>
      <c r="P114" s="27"/>
      <c r="Q114" s="27"/>
      <c r="R114" s="20"/>
    </row>
    <row r="115" spans="1:38" ht="30.75" customHeight="1">
      <c r="A115" s="24">
        <v>56</v>
      </c>
      <c r="B115" s="23" t="s">
        <v>78</v>
      </c>
      <c r="C115" s="24" t="s">
        <v>18</v>
      </c>
      <c r="D115" s="23" t="s">
        <v>276</v>
      </c>
      <c r="E115" s="23" t="s">
        <v>19</v>
      </c>
      <c r="F115" s="23" t="s">
        <v>418</v>
      </c>
      <c r="G115" s="23" t="s">
        <v>142</v>
      </c>
      <c r="H115" s="25">
        <v>26</v>
      </c>
      <c r="I115" s="1">
        <v>24</v>
      </c>
      <c r="J115" s="26">
        <v>24</v>
      </c>
      <c r="K115" s="27">
        <f t="shared" si="3"/>
        <v>17351.93</v>
      </c>
      <c r="L115" s="27">
        <f>6292.32+11059.61</f>
        <v>17351.93</v>
      </c>
      <c r="M115" s="27"/>
      <c r="N115" s="1">
        <v>10</v>
      </c>
      <c r="O115" s="27">
        <f t="shared" si="4"/>
        <v>25029.530000000002</v>
      </c>
      <c r="P115" s="27">
        <f>3646.63+15405.61+207.55+4651.68+1118.06</f>
        <v>25029.530000000002</v>
      </c>
      <c r="Q115" s="27"/>
      <c r="R115" s="20"/>
    </row>
    <row r="116" spans="1:38" s="7" customFormat="1" ht="15" customHeight="1">
      <c r="A116" s="24"/>
      <c r="B116" s="23" t="s">
        <v>78</v>
      </c>
      <c r="C116" s="24" t="s">
        <v>18</v>
      </c>
      <c r="D116" s="23"/>
      <c r="E116" s="23" t="s">
        <v>19</v>
      </c>
      <c r="F116" s="23" t="s">
        <v>120</v>
      </c>
      <c r="G116" s="23" t="s">
        <v>131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</row>
    <row r="117" spans="1:38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15" customHeight="1">
      <c r="A118" s="24">
        <v>57</v>
      </c>
      <c r="B118" s="23" t="s">
        <v>79</v>
      </c>
      <c r="C118" s="24" t="s">
        <v>18</v>
      </c>
      <c r="D118" s="23"/>
      <c r="E118" s="23" t="s">
        <v>19</v>
      </c>
      <c r="F118" s="23"/>
      <c r="G118" s="23" t="s">
        <v>142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ht="15" customHeight="1">
      <c r="A119" s="24">
        <v>58</v>
      </c>
      <c r="B119" s="23" t="s">
        <v>80</v>
      </c>
      <c r="C119" s="24" t="s">
        <v>18</v>
      </c>
      <c r="D119" s="23"/>
      <c r="E119" s="23" t="s">
        <v>19</v>
      </c>
      <c r="F119" s="23" t="s">
        <v>419</v>
      </c>
      <c r="G119" s="23" t="s">
        <v>142</v>
      </c>
      <c r="H119" s="25">
        <v>24</v>
      </c>
      <c r="I119" s="1">
        <v>20</v>
      </c>
      <c r="J119" s="26">
        <v>26</v>
      </c>
      <c r="K119" s="27">
        <f t="shared" si="3"/>
        <v>13736.86</v>
      </c>
      <c r="L119" s="27">
        <f>868.67+12868.19</f>
        <v>13736.86</v>
      </c>
      <c r="M119" s="27"/>
      <c r="N119" s="1">
        <v>11</v>
      </c>
      <c r="O119" s="27">
        <f t="shared" si="4"/>
        <v>34241.86</v>
      </c>
      <c r="P119" s="27">
        <f>3333.95+1419.74+6665.65+8634.68+1726.54+12461.3</f>
        <v>34241.86</v>
      </c>
      <c r="Q119" s="27"/>
      <c r="R119" s="20"/>
    </row>
    <row r="120" spans="1:38" s="7" customFormat="1" ht="15" customHeight="1">
      <c r="A120" s="24"/>
      <c r="B120" s="23" t="s">
        <v>80</v>
      </c>
      <c r="C120" s="24" t="s">
        <v>18</v>
      </c>
      <c r="D120" s="23"/>
      <c r="E120" s="23" t="s">
        <v>19</v>
      </c>
      <c r="F120" s="23" t="s">
        <v>120</v>
      </c>
      <c r="G120" s="23" t="s">
        <v>122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s="7" customFormat="1" ht="15" customHeight="1">
      <c r="A121" s="24">
        <v>59</v>
      </c>
      <c r="B121" s="23" t="s">
        <v>372</v>
      </c>
      <c r="C121" s="24" t="s">
        <v>18</v>
      </c>
      <c r="D121" s="23"/>
      <c r="E121" s="23" t="s">
        <v>19</v>
      </c>
      <c r="F121" s="23" t="s">
        <v>420</v>
      </c>
      <c r="G121" s="23" t="s">
        <v>142</v>
      </c>
      <c r="H121" s="25">
        <v>20</v>
      </c>
      <c r="I121" s="1">
        <v>3</v>
      </c>
      <c r="J121" s="26">
        <v>3</v>
      </c>
      <c r="K121" s="27">
        <v>0</v>
      </c>
      <c r="L121" s="27"/>
      <c r="M121" s="27"/>
      <c r="N121" s="1"/>
      <c r="O121" s="27"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>
        <v>60</v>
      </c>
      <c r="B122" s="23" t="s">
        <v>313</v>
      </c>
      <c r="C122" s="24" t="s">
        <v>18</v>
      </c>
      <c r="D122" s="23"/>
      <c r="E122" s="23"/>
      <c r="F122" s="23" t="s">
        <v>342</v>
      </c>
      <c r="G122" s="23" t="s">
        <v>131</v>
      </c>
      <c r="H122" s="25">
        <v>1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/>
      <c r="B123" s="23" t="s">
        <v>313</v>
      </c>
      <c r="C123" s="24" t="s">
        <v>18</v>
      </c>
      <c r="D123" s="23"/>
      <c r="E123" s="23" t="s">
        <v>41</v>
      </c>
      <c r="F123" s="23" t="s">
        <v>366</v>
      </c>
      <c r="G123" s="23" t="s">
        <v>136</v>
      </c>
      <c r="H123" s="25">
        <v>26</v>
      </c>
      <c r="I123" s="1">
        <v>6</v>
      </c>
      <c r="J123" s="26">
        <v>6</v>
      </c>
      <c r="K123" s="27">
        <f t="shared" si="3"/>
        <v>8633.26</v>
      </c>
      <c r="L123" s="27">
        <v>8633.26</v>
      </c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7" customFormat="1" ht="15" customHeight="1">
      <c r="A124" s="24">
        <v>61</v>
      </c>
      <c r="B124" s="23" t="s">
        <v>373</v>
      </c>
      <c r="C124" s="24" t="s">
        <v>52</v>
      </c>
      <c r="D124" s="23" t="s">
        <v>378</v>
      </c>
      <c r="E124" s="23" t="s">
        <v>104</v>
      </c>
      <c r="F124" s="23" t="s">
        <v>422</v>
      </c>
      <c r="G124" s="23" t="s">
        <v>142</v>
      </c>
      <c r="H124" s="25">
        <v>8</v>
      </c>
      <c r="I124" s="1"/>
      <c r="J124" s="26"/>
      <c r="K124" s="27">
        <v>0</v>
      </c>
      <c r="L124" s="27"/>
      <c r="M124" s="27"/>
      <c r="N124" s="1"/>
      <c r="O124" s="27">
        <v>0</v>
      </c>
      <c r="P124" s="27"/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ht="15" customHeight="1">
      <c r="A125" s="24">
        <v>62</v>
      </c>
      <c r="B125" s="23" t="s">
        <v>81</v>
      </c>
      <c r="C125" s="24" t="s">
        <v>18</v>
      </c>
      <c r="D125" s="23"/>
      <c r="E125" s="23" t="s">
        <v>19</v>
      </c>
      <c r="F125" s="23" t="s">
        <v>421</v>
      </c>
      <c r="G125" s="23" t="s">
        <v>142</v>
      </c>
      <c r="H125" s="25">
        <v>14</v>
      </c>
      <c r="I125" s="1">
        <v>2</v>
      </c>
      <c r="J125" s="26">
        <v>2</v>
      </c>
      <c r="K125" s="27">
        <f t="shared" si="3"/>
        <v>0</v>
      </c>
      <c r="L125" s="27"/>
      <c r="M125" s="27"/>
      <c r="N125" s="1">
        <v>5</v>
      </c>
      <c r="O125" s="27">
        <f t="shared" si="4"/>
        <v>7736.87</v>
      </c>
      <c r="P125" s="27">
        <f>2479.17+3260.79+1996.91</f>
        <v>7736.87</v>
      </c>
      <c r="Q125" s="27"/>
      <c r="R125" s="20"/>
    </row>
    <row r="126" spans="1:38" ht="15" customHeight="1">
      <c r="A126" s="24"/>
      <c r="B126" s="23" t="s">
        <v>81</v>
      </c>
      <c r="C126" s="24" t="s">
        <v>18</v>
      </c>
      <c r="D126" s="23"/>
      <c r="E126" s="23" t="s">
        <v>19</v>
      </c>
      <c r="F126" s="23" t="s">
        <v>453</v>
      </c>
      <c r="G126" s="23" t="s">
        <v>122</v>
      </c>
      <c r="H126" s="25">
        <v>5</v>
      </c>
      <c r="I126" s="1"/>
      <c r="J126" s="26"/>
      <c r="K126" s="27">
        <f t="shared" si="3"/>
        <v>0</v>
      </c>
      <c r="L126" s="27"/>
      <c r="M126" s="27"/>
      <c r="N126" s="1">
        <v>1</v>
      </c>
      <c r="O126" s="27">
        <f t="shared" si="4"/>
        <v>1850.1</v>
      </c>
      <c r="P126" s="27">
        <v>1850.1</v>
      </c>
      <c r="Q126" s="27"/>
      <c r="R126" s="20"/>
    </row>
    <row r="127" spans="1:38" s="7" customFormat="1" ht="15" customHeight="1">
      <c r="A127" s="24">
        <v>63</v>
      </c>
      <c r="B127" s="23" t="s">
        <v>82</v>
      </c>
      <c r="C127" s="24" t="s">
        <v>18</v>
      </c>
      <c r="D127" s="23"/>
      <c r="E127" s="23" t="s">
        <v>19</v>
      </c>
      <c r="F127" s="23" t="s">
        <v>423</v>
      </c>
      <c r="G127" s="23" t="s">
        <v>142</v>
      </c>
      <c r="H127" s="25">
        <v>22</v>
      </c>
      <c r="I127" s="1">
        <v>20</v>
      </c>
      <c r="J127" s="26">
        <v>20</v>
      </c>
      <c r="K127" s="27">
        <f t="shared" si="3"/>
        <v>4799.6900000000005</v>
      </c>
      <c r="L127" s="27">
        <f>2262.41+2537.28</f>
        <v>4799.6900000000005</v>
      </c>
      <c r="M127" s="27"/>
      <c r="N127" s="1">
        <v>9</v>
      </c>
      <c r="O127" s="27">
        <f t="shared" si="4"/>
        <v>23841.8</v>
      </c>
      <c r="P127" s="27">
        <v>7901.7</v>
      </c>
      <c r="Q127" s="27">
        <f>2301.17+13638.93</f>
        <v>15940.1</v>
      </c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s="7" customFormat="1" ht="15" customHeight="1">
      <c r="A128" s="24"/>
      <c r="B128" s="23" t="s">
        <v>82</v>
      </c>
      <c r="C128" s="24" t="s">
        <v>18</v>
      </c>
      <c r="D128" s="23"/>
      <c r="E128" s="23" t="s">
        <v>19</v>
      </c>
      <c r="F128" s="23" t="s">
        <v>481</v>
      </c>
      <c r="G128" s="23" t="s">
        <v>122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>
        <v>3</v>
      </c>
      <c r="O128" s="27">
        <f t="shared" si="4"/>
        <v>528.6</v>
      </c>
      <c r="P128" s="27">
        <v>528.6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ht="14.45" customHeight="1">
      <c r="A129" s="24">
        <v>64</v>
      </c>
      <c r="B129" s="23" t="s">
        <v>83</v>
      </c>
      <c r="C129" s="24" t="s">
        <v>30</v>
      </c>
      <c r="D129" s="23" t="s">
        <v>184</v>
      </c>
      <c r="E129" s="23" t="s">
        <v>19</v>
      </c>
      <c r="F129" s="23" t="s">
        <v>424</v>
      </c>
      <c r="G129" s="23" t="s">
        <v>142</v>
      </c>
      <c r="H129" s="25">
        <v>47</v>
      </c>
      <c r="I129" s="1">
        <v>41</v>
      </c>
      <c r="J129" s="26">
        <v>41</v>
      </c>
      <c r="K129" s="27">
        <f t="shared" si="3"/>
        <v>14837.82</v>
      </c>
      <c r="L129" s="27">
        <f>4622.62+10215.2</f>
        <v>14837.82</v>
      </c>
      <c r="M129" s="27"/>
      <c r="N129" s="1">
        <v>13</v>
      </c>
      <c r="O129" s="27">
        <f t="shared" si="4"/>
        <v>18488.010000000002</v>
      </c>
      <c r="P129" s="27">
        <f>4741.68+6694.81+3545.26+3506.26</f>
        <v>18488.010000000002</v>
      </c>
      <c r="Q129" s="27"/>
      <c r="R129" s="20"/>
    </row>
    <row r="130" spans="1:38" ht="14.45" customHeight="1">
      <c r="A130" s="24">
        <v>65</v>
      </c>
      <c r="B130" s="23" t="s">
        <v>303</v>
      </c>
      <c r="C130" s="24" t="s">
        <v>18</v>
      </c>
      <c r="D130" s="23"/>
      <c r="E130" s="23" t="s">
        <v>304</v>
      </c>
      <c r="F130" s="23" t="s">
        <v>473</v>
      </c>
      <c r="G130" s="23" t="s">
        <v>131</v>
      </c>
      <c r="H130" s="25">
        <v>13</v>
      </c>
      <c r="I130" s="1"/>
      <c r="J130" s="26"/>
      <c r="K130" s="27">
        <f t="shared" si="3"/>
        <v>0</v>
      </c>
      <c r="L130" s="27"/>
      <c r="M130" s="27"/>
      <c r="N130" s="1"/>
      <c r="O130" s="27">
        <f t="shared" si="4"/>
        <v>0</v>
      </c>
      <c r="P130" s="27"/>
      <c r="Q130" s="27"/>
      <c r="R130" s="20"/>
    </row>
    <row r="131" spans="1:38" s="7" customFormat="1" ht="15" customHeight="1">
      <c r="A131" s="24">
        <v>66</v>
      </c>
      <c r="B131" s="23" t="s">
        <v>84</v>
      </c>
      <c r="C131" s="24" t="s">
        <v>18</v>
      </c>
      <c r="D131" s="23"/>
      <c r="E131" s="23" t="s">
        <v>19</v>
      </c>
      <c r="F131" s="23" t="s">
        <v>425</v>
      </c>
      <c r="G131" s="23" t="s">
        <v>142</v>
      </c>
      <c r="H131" s="25">
        <v>21</v>
      </c>
      <c r="I131" s="1">
        <v>17</v>
      </c>
      <c r="J131" s="26">
        <v>19</v>
      </c>
      <c r="K131" s="27">
        <f t="shared" si="3"/>
        <v>15295.92</v>
      </c>
      <c r="L131" s="27">
        <f>1150.59+5761.74+8383.59</f>
        <v>15295.92</v>
      </c>
      <c r="M131" s="27"/>
      <c r="N131" s="1">
        <v>12</v>
      </c>
      <c r="O131" s="27">
        <f t="shared" si="4"/>
        <v>19788.560000000001</v>
      </c>
      <c r="P131" s="27">
        <f>919.46+2791.44+2825.9+1143.1+4609.59+4061.35+168.4+3269.32</f>
        <v>19788.560000000001</v>
      </c>
      <c r="Q131" s="27"/>
      <c r="R131" s="20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 spans="1:38" ht="15" customHeight="1">
      <c r="A132" s="24"/>
      <c r="B132" s="23" t="s">
        <v>84</v>
      </c>
      <c r="C132" s="24" t="s">
        <v>18</v>
      </c>
      <c r="D132" s="23"/>
      <c r="E132" s="23" t="s">
        <v>19</v>
      </c>
      <c r="F132" s="37" t="s">
        <v>468</v>
      </c>
      <c r="G132" s="23" t="s">
        <v>122</v>
      </c>
      <c r="H132" s="25">
        <v>0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ht="15" customHeight="1">
      <c r="A133" s="24">
        <v>67</v>
      </c>
      <c r="B133" s="23" t="s">
        <v>85</v>
      </c>
      <c r="C133" s="24" t="s">
        <v>18</v>
      </c>
      <c r="D133" s="23"/>
      <c r="E133" s="23" t="s">
        <v>77</v>
      </c>
      <c r="F133" s="23" t="s">
        <v>426</v>
      </c>
      <c r="G133" s="23" t="s">
        <v>142</v>
      </c>
      <c r="H133" s="25">
        <v>23</v>
      </c>
      <c r="I133" s="1">
        <v>12</v>
      </c>
      <c r="J133" s="26">
        <v>16</v>
      </c>
      <c r="K133" s="27">
        <f t="shared" si="3"/>
        <v>0</v>
      </c>
      <c r="L133" s="27"/>
      <c r="M133" s="27"/>
      <c r="N133" s="1">
        <v>19</v>
      </c>
      <c r="O133" s="27">
        <f t="shared" si="4"/>
        <v>29239.35</v>
      </c>
      <c r="P133" s="27">
        <f>6606.63+11561.65+5037.38+6033.69</f>
        <v>29239.35</v>
      </c>
      <c r="Q133" s="27"/>
      <c r="R133" s="20"/>
    </row>
    <row r="134" spans="1:38" ht="15" customHeight="1">
      <c r="A134" s="24"/>
      <c r="B134" s="23" t="s">
        <v>85</v>
      </c>
      <c r="C134" s="24" t="s">
        <v>18</v>
      </c>
      <c r="D134" s="23"/>
      <c r="E134" s="23" t="s">
        <v>301</v>
      </c>
      <c r="F134" s="23" t="s">
        <v>337</v>
      </c>
      <c r="G134" s="23" t="s">
        <v>131</v>
      </c>
      <c r="H134" s="25">
        <v>41</v>
      </c>
      <c r="I134" s="1">
        <v>7</v>
      </c>
      <c r="J134" s="26">
        <v>7</v>
      </c>
      <c r="K134" s="27">
        <f t="shared" si="3"/>
        <v>2466.8000000000002</v>
      </c>
      <c r="L134" s="27">
        <v>2466.8000000000002</v>
      </c>
      <c r="M134" s="27"/>
      <c r="N134" s="1">
        <v>17</v>
      </c>
      <c r="O134" s="27">
        <f t="shared" si="4"/>
        <v>5330.06</v>
      </c>
      <c r="P134" s="27">
        <v>5330.06</v>
      </c>
      <c r="Q134" s="27"/>
      <c r="R134" s="20"/>
    </row>
    <row r="135" spans="1:38" ht="15" customHeight="1">
      <c r="A135" s="24">
        <v>68</v>
      </c>
      <c r="B135" s="23" t="s">
        <v>86</v>
      </c>
      <c r="C135" s="24" t="s">
        <v>18</v>
      </c>
      <c r="D135" s="23"/>
      <c r="E135" s="23" t="s">
        <v>77</v>
      </c>
      <c r="F135" s="23" t="s">
        <v>427</v>
      </c>
      <c r="G135" s="23" t="s">
        <v>142</v>
      </c>
      <c r="H135" s="25">
        <v>26</v>
      </c>
      <c r="I135" s="1">
        <v>13</v>
      </c>
      <c r="J135" s="26">
        <v>13</v>
      </c>
      <c r="K135" s="27">
        <f t="shared" si="3"/>
        <v>0</v>
      </c>
      <c r="L135" s="27"/>
      <c r="M135" s="27"/>
      <c r="N135" s="1">
        <v>12</v>
      </c>
      <c r="O135" s="27">
        <f t="shared" si="4"/>
        <v>22081.42</v>
      </c>
      <c r="P135" s="27">
        <f>1359.87+2464.36+5364.57+11322.68+1569.94</f>
        <v>22081.42</v>
      </c>
      <c r="Q135" s="27"/>
      <c r="R135" s="20"/>
    </row>
    <row r="136" spans="1:38" ht="15" customHeight="1">
      <c r="A136" s="24"/>
      <c r="B136" s="23" t="s">
        <v>86</v>
      </c>
      <c r="C136" s="24" t="s">
        <v>18</v>
      </c>
      <c r="D136" s="23"/>
      <c r="E136" s="23" t="s">
        <v>301</v>
      </c>
      <c r="F136" s="23" t="s">
        <v>338</v>
      </c>
      <c r="G136" s="23" t="s">
        <v>131</v>
      </c>
      <c r="H136" s="25">
        <v>5</v>
      </c>
      <c r="I136" s="1">
        <v>1</v>
      </c>
      <c r="J136" s="26">
        <v>1</v>
      </c>
      <c r="K136" s="27">
        <f t="shared" si="3"/>
        <v>0</v>
      </c>
      <c r="L136" s="27"/>
      <c r="M136" s="27"/>
      <c r="N136" s="1">
        <v>3</v>
      </c>
      <c r="O136" s="27">
        <f t="shared" si="4"/>
        <v>5030.51</v>
      </c>
      <c r="P136" s="27">
        <v>5030.51</v>
      </c>
      <c r="Q136" s="27"/>
      <c r="R136" s="20"/>
    </row>
    <row r="137" spans="1:38" ht="28.9" customHeight="1">
      <c r="A137" s="29">
        <v>69</v>
      </c>
      <c r="B137" s="30" t="s">
        <v>87</v>
      </c>
      <c r="C137" s="29" t="s">
        <v>52</v>
      </c>
      <c r="D137" s="30" t="s">
        <v>88</v>
      </c>
      <c r="E137" s="30" t="s">
        <v>19</v>
      </c>
      <c r="F137" s="30" t="s">
        <v>292</v>
      </c>
      <c r="G137" s="30" t="s">
        <v>142</v>
      </c>
      <c r="H137" s="25">
        <v>0</v>
      </c>
      <c r="I137" s="1"/>
      <c r="J137" s="26"/>
      <c r="K137" s="27">
        <f t="shared" si="3"/>
        <v>0</v>
      </c>
      <c r="L137" s="27"/>
      <c r="M137" s="27"/>
      <c r="N137" s="1">
        <v>1</v>
      </c>
      <c r="O137" s="27">
        <f t="shared" si="4"/>
        <v>1564.44</v>
      </c>
      <c r="P137" s="27">
        <f>210.5+1353.94</f>
        <v>1564.44</v>
      </c>
      <c r="Q137" s="27"/>
      <c r="R137" s="20"/>
    </row>
    <row r="138" spans="1:38" ht="29.25" customHeight="1">
      <c r="A138" s="29"/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376</v>
      </c>
      <c r="G138" s="30" t="s">
        <v>122</v>
      </c>
      <c r="H138" s="25">
        <v>24</v>
      </c>
      <c r="I138" s="1">
        <v>8</v>
      </c>
      <c r="J138" s="44">
        <v>8</v>
      </c>
      <c r="K138" s="27">
        <f t="shared" si="3"/>
        <v>0</v>
      </c>
      <c r="L138" s="27"/>
      <c r="M138" s="27"/>
      <c r="N138" s="1">
        <v>5</v>
      </c>
      <c r="O138" s="27">
        <f t="shared" si="4"/>
        <v>6677.98</v>
      </c>
      <c r="P138" s="27">
        <v>4034.98</v>
      </c>
      <c r="Q138" s="27">
        <v>2642.9999999999995</v>
      </c>
      <c r="R138" s="20"/>
    </row>
    <row r="139" spans="1:38" ht="26.25" customHeight="1">
      <c r="A139" s="24">
        <v>70</v>
      </c>
      <c r="B139" s="23" t="s">
        <v>89</v>
      </c>
      <c r="C139" s="24" t="s">
        <v>18</v>
      </c>
      <c r="D139" s="23"/>
      <c r="E139" s="23" t="s">
        <v>19</v>
      </c>
      <c r="F139" s="23" t="s">
        <v>428</v>
      </c>
      <c r="G139" s="23" t="s">
        <v>142</v>
      </c>
      <c r="H139" s="25">
        <v>21</v>
      </c>
      <c r="I139" s="1">
        <v>13</v>
      </c>
      <c r="J139" s="26">
        <v>13</v>
      </c>
      <c r="K139" s="27">
        <f t="shared" si="3"/>
        <v>3575.98</v>
      </c>
      <c r="L139" s="27"/>
      <c r="M139" s="27">
        <v>3575.98</v>
      </c>
      <c r="N139" s="1">
        <v>9</v>
      </c>
      <c r="O139" s="27">
        <f t="shared" si="4"/>
        <v>23299.57</v>
      </c>
      <c r="P139" s="27">
        <f>1217+2961.61+4156.54+14964.42</f>
        <v>23299.57</v>
      </c>
      <c r="Q139" s="27"/>
      <c r="R139" s="20"/>
    </row>
    <row r="140" spans="1:38" s="7" customFormat="1" ht="15" customHeight="1">
      <c r="A140" s="24"/>
      <c r="B140" s="23" t="s">
        <v>89</v>
      </c>
      <c r="C140" s="24" t="s">
        <v>18</v>
      </c>
      <c r="D140" s="23"/>
      <c r="E140" s="23" t="s">
        <v>19</v>
      </c>
      <c r="F140" s="23" t="s">
        <v>454</v>
      </c>
      <c r="G140" s="23" t="s">
        <v>122</v>
      </c>
      <c r="H140" s="25">
        <v>17</v>
      </c>
      <c r="I140" s="1"/>
      <c r="J140" s="26"/>
      <c r="K140" s="27">
        <f t="shared" si="3"/>
        <v>0</v>
      </c>
      <c r="L140" s="27"/>
      <c r="M140" s="27"/>
      <c r="N140" s="1">
        <v>7</v>
      </c>
      <c r="O140" s="27">
        <f t="shared" si="4"/>
        <v>13215</v>
      </c>
      <c r="P140" s="36">
        <v>2819.2</v>
      </c>
      <c r="Q140" s="27">
        <v>10395.799999999999</v>
      </c>
      <c r="R140" s="20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 spans="1:38" ht="15" customHeight="1">
      <c r="A141" s="24">
        <v>71</v>
      </c>
      <c r="B141" s="23" t="s">
        <v>90</v>
      </c>
      <c r="C141" s="24" t="s">
        <v>18</v>
      </c>
      <c r="D141" s="23"/>
      <c r="E141" s="23" t="s">
        <v>19</v>
      </c>
      <c r="F141" s="23" t="s">
        <v>429</v>
      </c>
      <c r="G141" s="23" t="s">
        <v>142</v>
      </c>
      <c r="H141" s="25">
        <v>14</v>
      </c>
      <c r="I141" s="1">
        <v>10</v>
      </c>
      <c r="J141" s="26">
        <v>10</v>
      </c>
      <c r="K141" s="27">
        <f t="shared" si="3"/>
        <v>2471.02</v>
      </c>
      <c r="L141" s="27">
        <f>1251.72+1219.3</f>
        <v>2471.02</v>
      </c>
      <c r="M141" s="27"/>
      <c r="N141" s="1">
        <v>4</v>
      </c>
      <c r="O141" s="27">
        <f t="shared" si="4"/>
        <v>10093.58</v>
      </c>
      <c r="P141" s="27">
        <f>886.32+5410.33+3585.49+211.44</f>
        <v>10093.58</v>
      </c>
      <c r="Q141" s="27"/>
      <c r="R141" s="20"/>
    </row>
    <row r="142" spans="1:38" s="7" customFormat="1" ht="15" customHeight="1">
      <c r="A142" s="24">
        <v>72</v>
      </c>
      <c r="B142" s="23" t="s">
        <v>91</v>
      </c>
      <c r="C142" s="24" t="s">
        <v>18</v>
      </c>
      <c r="D142" s="23"/>
      <c r="E142" s="23" t="s">
        <v>92</v>
      </c>
      <c r="F142" s="23" t="s">
        <v>470</v>
      </c>
      <c r="G142" s="23" t="s">
        <v>142</v>
      </c>
      <c r="H142" s="25">
        <v>15</v>
      </c>
      <c r="I142" s="1">
        <v>1</v>
      </c>
      <c r="J142" s="26">
        <v>1</v>
      </c>
      <c r="K142" s="27">
        <f t="shared" si="3"/>
        <v>0</v>
      </c>
      <c r="L142" s="27"/>
      <c r="M142" s="27"/>
      <c r="N142" s="1">
        <v>17</v>
      </c>
      <c r="O142" s="27">
        <f t="shared" si="4"/>
        <v>35132.880000000005</v>
      </c>
      <c r="P142" s="27">
        <f>8438.22+13425.14+13269.52</f>
        <v>35132.880000000005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s="7" customFormat="1" ht="15" customHeight="1">
      <c r="A143" s="24"/>
      <c r="B143" s="23" t="s">
        <v>91</v>
      </c>
      <c r="C143" s="24" t="s">
        <v>18</v>
      </c>
      <c r="D143" s="23"/>
      <c r="E143" s="23" t="s">
        <v>92</v>
      </c>
      <c r="F143" s="23" t="s">
        <v>479</v>
      </c>
      <c r="G143" s="23" t="s">
        <v>136</v>
      </c>
      <c r="H143" s="25">
        <v>3</v>
      </c>
      <c r="I143" s="2"/>
      <c r="J143" s="26"/>
      <c r="K143" s="27">
        <f t="shared" si="3"/>
        <v>0</v>
      </c>
      <c r="L143" s="27"/>
      <c r="M143" s="27"/>
      <c r="N143" s="2">
        <v>5</v>
      </c>
      <c r="O143" s="27">
        <f t="shared" si="4"/>
        <v>1145.3</v>
      </c>
      <c r="P143" s="27">
        <v>1145.3</v>
      </c>
      <c r="Q143" s="27"/>
      <c r="R143" s="20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 spans="1:38" ht="15" customHeight="1">
      <c r="A144" s="24">
        <v>73</v>
      </c>
      <c r="B144" s="23" t="s">
        <v>93</v>
      </c>
      <c r="C144" s="24" t="s">
        <v>18</v>
      </c>
      <c r="D144" s="23"/>
      <c r="E144" s="23" t="s">
        <v>19</v>
      </c>
      <c r="F144" s="23" t="s">
        <v>123</v>
      </c>
      <c r="G144" s="23" t="s">
        <v>142</v>
      </c>
      <c r="H144" s="25">
        <v>0</v>
      </c>
      <c r="I144" s="2"/>
      <c r="J144" s="26"/>
      <c r="K144" s="27">
        <f t="shared" si="3"/>
        <v>0</v>
      </c>
      <c r="L144" s="27"/>
      <c r="M144" s="27"/>
      <c r="N144" s="2">
        <v>1</v>
      </c>
      <c r="O144" s="27">
        <f t="shared" si="4"/>
        <v>4017.3599999999997</v>
      </c>
      <c r="P144" s="27">
        <f>2431.56+1585.8</f>
        <v>4017.3599999999997</v>
      </c>
      <c r="Q144" s="27"/>
      <c r="R144" s="20"/>
    </row>
    <row r="145" spans="1:38" s="17" customFormat="1" ht="15" customHeight="1">
      <c r="A145" s="24"/>
      <c r="B145" s="23" t="s">
        <v>93</v>
      </c>
      <c r="C145" s="24" t="s">
        <v>18</v>
      </c>
      <c r="D145" s="23"/>
      <c r="E145" s="23" t="s">
        <v>19</v>
      </c>
      <c r="F145" s="23" t="s">
        <v>120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1797.24</v>
      </c>
      <c r="P145" s="27">
        <v>1797.24</v>
      </c>
      <c r="Q145" s="27"/>
      <c r="R145" s="20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</row>
    <row r="146" spans="1:38" ht="15" customHeight="1">
      <c r="A146" s="24"/>
      <c r="B146" s="23" t="s">
        <v>93</v>
      </c>
      <c r="C146" s="24" t="s">
        <v>18</v>
      </c>
      <c r="D146" s="23"/>
      <c r="E146" s="23"/>
      <c r="F146" s="23" t="s">
        <v>261</v>
      </c>
      <c r="G146" s="23" t="s">
        <v>122</v>
      </c>
      <c r="H146" s="25">
        <v>9</v>
      </c>
      <c r="I146" s="1">
        <v>3</v>
      </c>
      <c r="J146" s="26">
        <v>3</v>
      </c>
      <c r="K146" s="27">
        <f t="shared" si="3"/>
        <v>0</v>
      </c>
      <c r="L146" s="27"/>
      <c r="M146" s="27"/>
      <c r="N146" s="1">
        <v>2</v>
      </c>
      <c r="O146" s="27">
        <f t="shared" si="4"/>
        <v>792.9</v>
      </c>
      <c r="P146" s="27">
        <v>792.9</v>
      </c>
      <c r="Q146" s="27"/>
      <c r="R146" s="20"/>
    </row>
    <row r="147" spans="1:38" ht="15" customHeight="1">
      <c r="A147" s="24">
        <v>74</v>
      </c>
      <c r="B147" s="23" t="s">
        <v>281</v>
      </c>
      <c r="C147" s="24" t="s">
        <v>18</v>
      </c>
      <c r="D147" s="23"/>
      <c r="E147" s="23" t="s">
        <v>19</v>
      </c>
      <c r="F147" s="23" t="s">
        <v>430</v>
      </c>
      <c r="G147" s="23" t="s">
        <v>142</v>
      </c>
      <c r="H147" s="25">
        <v>11</v>
      </c>
      <c r="I147" s="1">
        <v>6</v>
      </c>
      <c r="J147" s="26">
        <v>7</v>
      </c>
      <c r="K147" s="27">
        <f t="shared" si="3"/>
        <v>2702.63</v>
      </c>
      <c r="L147" s="27">
        <f>1279.21+1423.42</f>
        <v>2702.63</v>
      </c>
      <c r="M147" s="27"/>
      <c r="N147" s="1">
        <v>2</v>
      </c>
      <c r="O147" s="27">
        <f t="shared" si="4"/>
        <v>2640.13</v>
      </c>
      <c r="P147" s="27">
        <f>486.08+2154.05</f>
        <v>2640.13</v>
      </c>
      <c r="Q147" s="27"/>
      <c r="R147" s="20"/>
    </row>
    <row r="148" spans="1:38" ht="15" customHeight="1">
      <c r="A148" s="24"/>
      <c r="B148" s="23" t="s">
        <v>281</v>
      </c>
      <c r="C148" s="24" t="s">
        <v>18</v>
      </c>
      <c r="D148" s="23"/>
      <c r="E148" s="23" t="s">
        <v>19</v>
      </c>
      <c r="F148" s="23" t="s">
        <v>285</v>
      </c>
      <c r="G148" s="23" t="s">
        <v>131</v>
      </c>
      <c r="H148" s="25">
        <v>0</v>
      </c>
      <c r="I148" s="1"/>
      <c r="J148" s="26"/>
      <c r="K148" s="27">
        <f t="shared" si="3"/>
        <v>0</v>
      </c>
      <c r="L148" s="27"/>
      <c r="M148" s="27"/>
      <c r="N148" s="1">
        <v>1</v>
      </c>
      <c r="O148" s="27">
        <f t="shared" si="4"/>
        <v>0</v>
      </c>
      <c r="P148" s="27"/>
      <c r="Q148" s="27"/>
      <c r="R148" s="20"/>
    </row>
    <row r="149" spans="1:38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349</v>
      </c>
      <c r="G149" s="23" t="s">
        <v>122</v>
      </c>
      <c r="H149" s="25">
        <v>22</v>
      </c>
      <c r="I149" s="1">
        <v>3</v>
      </c>
      <c r="J149" s="26">
        <v>3</v>
      </c>
      <c r="K149" s="27">
        <f t="shared" si="3"/>
        <v>9287.9599999999991</v>
      </c>
      <c r="L149" s="27">
        <v>528.6</v>
      </c>
      <c r="M149" s="27">
        <v>8759.3599999999988</v>
      </c>
      <c r="N149" s="1">
        <v>5</v>
      </c>
      <c r="O149" s="27">
        <f t="shared" si="4"/>
        <v>13416.69</v>
      </c>
      <c r="P149" s="27">
        <v>7470.59</v>
      </c>
      <c r="Q149" s="27">
        <v>5946.1</v>
      </c>
      <c r="R149" s="20"/>
    </row>
    <row r="150" spans="1:38" ht="15" customHeight="1">
      <c r="A150" s="24">
        <v>75</v>
      </c>
      <c r="B150" s="23" t="s">
        <v>94</v>
      </c>
      <c r="C150" s="24" t="s">
        <v>18</v>
      </c>
      <c r="D150" s="23"/>
      <c r="E150" s="23" t="s">
        <v>95</v>
      </c>
      <c r="F150" s="23" t="s">
        <v>431</v>
      </c>
      <c r="G150" s="23" t="s">
        <v>142</v>
      </c>
      <c r="H150" s="25">
        <v>36</v>
      </c>
      <c r="I150" s="1">
        <v>23</v>
      </c>
      <c r="J150" s="26">
        <v>34</v>
      </c>
      <c r="K150" s="27">
        <f t="shared" si="3"/>
        <v>4012.07</v>
      </c>
      <c r="L150" s="27">
        <f>4012.07</f>
        <v>4012.07</v>
      </c>
      <c r="M150" s="27"/>
      <c r="N150" s="1">
        <v>9</v>
      </c>
      <c r="O150" s="27">
        <f t="shared" si="4"/>
        <v>13489.94</v>
      </c>
      <c r="P150" s="27">
        <f>5675.37+2740.58+5073.99</f>
        <v>13489.94</v>
      </c>
      <c r="Q150" s="27"/>
      <c r="R150" s="20"/>
    </row>
    <row r="151" spans="1:38" s="7" customFormat="1" ht="15" customHeight="1">
      <c r="A151" s="24"/>
      <c r="B151" s="23" t="s">
        <v>128</v>
      </c>
      <c r="C151" s="24" t="s">
        <v>18</v>
      </c>
      <c r="D151" s="23"/>
      <c r="E151" s="23" t="s">
        <v>95</v>
      </c>
      <c r="F151" s="23" t="s">
        <v>319</v>
      </c>
      <c r="G151" s="23" t="s">
        <v>124</v>
      </c>
      <c r="H151" s="25">
        <v>12</v>
      </c>
      <c r="I151" s="1">
        <v>2</v>
      </c>
      <c r="J151" s="26">
        <v>2</v>
      </c>
      <c r="K151" s="27">
        <f t="shared" si="3"/>
        <v>6519.4</v>
      </c>
      <c r="L151" s="27">
        <v>6519.4</v>
      </c>
      <c r="M151" s="27"/>
      <c r="N151" s="1">
        <v>2</v>
      </c>
      <c r="O151" s="27">
        <f t="shared" si="4"/>
        <v>3942.68</v>
      </c>
      <c r="P151" s="27">
        <v>3942.68</v>
      </c>
      <c r="Q151" s="27"/>
      <c r="R151" s="20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</row>
    <row r="152" spans="1:38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123</v>
      </c>
      <c r="G152" s="23" t="s">
        <v>131</v>
      </c>
      <c r="H152" s="25">
        <v>0</v>
      </c>
      <c r="I152" s="2"/>
      <c r="J152" s="26"/>
      <c r="K152" s="27">
        <f t="shared" si="3"/>
        <v>0</v>
      </c>
      <c r="L152" s="27"/>
      <c r="M152" s="27"/>
      <c r="N152" s="2"/>
      <c r="O152" s="27">
        <f t="shared" si="4"/>
        <v>0</v>
      </c>
      <c r="P152" s="27"/>
      <c r="Q152" s="27"/>
      <c r="R152" s="20"/>
    </row>
    <row r="153" spans="1:38" ht="15" customHeight="1">
      <c r="A153" s="24">
        <v>76</v>
      </c>
      <c r="B153" s="23" t="s">
        <v>96</v>
      </c>
      <c r="C153" s="24" t="s">
        <v>18</v>
      </c>
      <c r="D153" s="23"/>
      <c r="E153" s="23" t="s">
        <v>19</v>
      </c>
      <c r="F153" s="23" t="s">
        <v>432</v>
      </c>
      <c r="G153" s="23" t="s">
        <v>142</v>
      </c>
      <c r="H153" s="25">
        <v>6</v>
      </c>
      <c r="I153" s="1">
        <v>2</v>
      </c>
      <c r="J153" s="26">
        <v>2</v>
      </c>
      <c r="K153" s="27">
        <f t="shared" si="3"/>
        <v>0</v>
      </c>
      <c r="L153" s="27"/>
      <c r="M153" s="27"/>
      <c r="N153" s="1">
        <v>2</v>
      </c>
      <c r="O153" s="27">
        <f t="shared" si="4"/>
        <v>4049.6000000000004</v>
      </c>
      <c r="P153" s="27">
        <f>1639.99+2409.61</f>
        <v>4049.6000000000004</v>
      </c>
      <c r="Q153" s="27"/>
      <c r="R153" s="20"/>
    </row>
    <row r="154" spans="1:38" ht="15" customHeight="1">
      <c r="A154" s="24"/>
      <c r="B154" s="23" t="s">
        <v>96</v>
      </c>
      <c r="C154" s="24" t="s">
        <v>18</v>
      </c>
      <c r="D154" s="23"/>
      <c r="E154" s="23" t="s">
        <v>19</v>
      </c>
      <c r="F154" s="23" t="s">
        <v>292</v>
      </c>
      <c r="G154" s="23" t="s">
        <v>131</v>
      </c>
      <c r="H154" s="25">
        <v>0</v>
      </c>
      <c r="I154" s="1"/>
      <c r="J154" s="26"/>
      <c r="K154" s="27">
        <f t="shared" si="3"/>
        <v>0</v>
      </c>
      <c r="L154" s="27"/>
      <c r="M154" s="27"/>
      <c r="N154" s="1">
        <v>2</v>
      </c>
      <c r="O154" s="27">
        <f t="shared" si="4"/>
        <v>6695.6</v>
      </c>
      <c r="P154" s="27">
        <v>6695.6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447</v>
      </c>
      <c r="G155" s="23" t="s">
        <v>122</v>
      </c>
      <c r="H155" s="25">
        <v>17</v>
      </c>
      <c r="I155" s="1">
        <v>4</v>
      </c>
      <c r="J155" s="26">
        <v>4</v>
      </c>
      <c r="K155" s="27">
        <f t="shared" si="3"/>
        <v>5286</v>
      </c>
      <c r="L155" s="27"/>
      <c r="M155" s="27">
        <v>5286</v>
      </c>
      <c r="N155" s="1">
        <v>4</v>
      </c>
      <c r="O155" s="27">
        <f t="shared" si="4"/>
        <v>12686.4</v>
      </c>
      <c r="P155" s="27">
        <v>9338.6</v>
      </c>
      <c r="Q155" s="27">
        <v>3347.7999999999993</v>
      </c>
      <c r="R155" s="20"/>
    </row>
    <row r="156" spans="1:38" ht="15" customHeight="1">
      <c r="A156" s="24"/>
      <c r="B156" s="23" t="s">
        <v>96</v>
      </c>
      <c r="C156" s="24" t="s">
        <v>18</v>
      </c>
      <c r="D156" s="23"/>
      <c r="E156" s="22" t="s">
        <v>19</v>
      </c>
      <c r="F156" s="23" t="s">
        <v>367</v>
      </c>
      <c r="G156" s="22" t="s">
        <v>136</v>
      </c>
      <c r="H156" s="45">
        <v>6</v>
      </c>
      <c r="I156" s="1">
        <v>1</v>
      </c>
      <c r="J156" s="26">
        <v>1</v>
      </c>
      <c r="K156" s="27">
        <f t="shared" ref="K156:K204" si="6">L156+M156</f>
        <v>0</v>
      </c>
      <c r="L156" s="27"/>
      <c r="M156" s="27"/>
      <c r="N156" s="1">
        <v>2</v>
      </c>
      <c r="O156" s="27">
        <f t="shared" si="4"/>
        <v>2466.8000000000002</v>
      </c>
      <c r="P156" s="27">
        <v>2466.8000000000002</v>
      </c>
      <c r="Q156" s="27"/>
      <c r="R156" s="20"/>
    </row>
    <row r="157" spans="1:38" ht="15" customHeight="1">
      <c r="A157" s="24">
        <v>77</v>
      </c>
      <c r="B157" s="23" t="s">
        <v>97</v>
      </c>
      <c r="C157" s="24" t="s">
        <v>18</v>
      </c>
      <c r="D157" s="23"/>
      <c r="E157" s="23" t="s">
        <v>19</v>
      </c>
      <c r="F157" s="23" t="s">
        <v>462</v>
      </c>
      <c r="G157" s="23" t="s">
        <v>142</v>
      </c>
      <c r="H157" s="25">
        <v>6</v>
      </c>
      <c r="I157" s="1"/>
      <c r="J157" s="26"/>
      <c r="K157" s="27">
        <f t="shared" si="6"/>
        <v>0</v>
      </c>
      <c r="L157" s="27"/>
      <c r="M157" s="27"/>
      <c r="N157" s="1">
        <v>1</v>
      </c>
      <c r="O157" s="27">
        <f t="shared" si="4"/>
        <v>0</v>
      </c>
      <c r="P157" s="27"/>
      <c r="Q157" s="27"/>
      <c r="R157" s="20"/>
    </row>
    <row r="158" spans="1:38" ht="15" customHeight="1">
      <c r="A158" s="24">
        <v>78</v>
      </c>
      <c r="B158" s="23" t="s">
        <v>98</v>
      </c>
      <c r="C158" s="24" t="s">
        <v>18</v>
      </c>
      <c r="D158" s="23"/>
      <c r="E158" s="23" t="s">
        <v>19</v>
      </c>
      <c r="F158" s="23" t="s">
        <v>433</v>
      </c>
      <c r="G158" s="23" t="s">
        <v>142</v>
      </c>
      <c r="H158" s="25">
        <v>16</v>
      </c>
      <c r="I158" s="1">
        <v>14</v>
      </c>
      <c r="J158" s="26">
        <v>15</v>
      </c>
      <c r="K158" s="27">
        <f t="shared" si="6"/>
        <v>14455.97</v>
      </c>
      <c r="L158" s="27">
        <f>4990.06+7017.17+2448.74</f>
        <v>14455.97</v>
      </c>
      <c r="M158" s="27"/>
      <c r="N158" s="1">
        <v>8</v>
      </c>
      <c r="O158" s="27">
        <f t="shared" si="4"/>
        <v>35129.230000000003</v>
      </c>
      <c r="P158" s="27">
        <f>887.45+1225.31+5357.66+6830.6+1409.6+19418.61</f>
        <v>35129.230000000003</v>
      </c>
      <c r="Q158" s="27"/>
      <c r="R158" s="20"/>
    </row>
    <row r="159" spans="1:38" ht="15" customHeight="1">
      <c r="A159" s="24">
        <v>79</v>
      </c>
      <c r="B159" s="23" t="s">
        <v>99</v>
      </c>
      <c r="C159" s="24" t="s">
        <v>18</v>
      </c>
      <c r="D159" s="23"/>
      <c r="E159" s="23" t="s">
        <v>19</v>
      </c>
      <c r="F159" s="23" t="s">
        <v>120</v>
      </c>
      <c r="G159" s="23" t="s">
        <v>142</v>
      </c>
      <c r="H159" s="25">
        <v>0</v>
      </c>
      <c r="I159" s="1"/>
      <c r="J159" s="26"/>
      <c r="K159" s="27">
        <f t="shared" si="6"/>
        <v>0</v>
      </c>
      <c r="L159" s="27"/>
      <c r="M159" s="27"/>
      <c r="N159" s="1">
        <v>2</v>
      </c>
      <c r="O159" s="27">
        <f t="shared" si="4"/>
        <v>0</v>
      </c>
      <c r="P159" s="27"/>
      <c r="Q159" s="27"/>
      <c r="R159" s="20"/>
    </row>
    <row r="160" spans="1:38" ht="24.6" customHeight="1">
      <c r="A160" s="29">
        <v>80</v>
      </c>
      <c r="B160" s="30" t="s">
        <v>100</v>
      </c>
      <c r="C160" s="29" t="s">
        <v>30</v>
      </c>
      <c r="D160" s="30" t="s">
        <v>101</v>
      </c>
      <c r="E160" s="30" t="s">
        <v>19</v>
      </c>
      <c r="F160" s="23" t="s">
        <v>434</v>
      </c>
      <c r="G160" s="30" t="s">
        <v>142</v>
      </c>
      <c r="H160" s="25">
        <v>10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s="7" customFormat="1" ht="29.25" customHeight="1">
      <c r="A161" s="29"/>
      <c r="B161" s="30" t="s">
        <v>100</v>
      </c>
      <c r="C161" s="29" t="s">
        <v>30</v>
      </c>
      <c r="D161" s="30" t="s">
        <v>101</v>
      </c>
      <c r="E161" s="30" t="s">
        <v>19</v>
      </c>
      <c r="F161" s="30" t="s">
        <v>292</v>
      </c>
      <c r="G161" s="30" t="s">
        <v>122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/>
      <c r="O161" s="27">
        <f t="shared" si="4"/>
        <v>0</v>
      </c>
      <c r="P161" s="27"/>
      <c r="Q161" s="27"/>
      <c r="R161" s="20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</row>
    <row r="162" spans="1:38" ht="26.25" customHeight="1">
      <c r="A162" s="46">
        <v>81</v>
      </c>
      <c r="B162" s="60" t="s">
        <v>144</v>
      </c>
      <c r="C162" s="46" t="s">
        <v>18</v>
      </c>
      <c r="D162" s="60"/>
      <c r="E162" s="60" t="s">
        <v>104</v>
      </c>
      <c r="F162" s="60" t="s">
        <v>120</v>
      </c>
      <c r="G162" s="60" t="s">
        <v>142</v>
      </c>
      <c r="H162" s="61">
        <v>0</v>
      </c>
      <c r="I162" s="1"/>
      <c r="J162" s="26"/>
      <c r="K162" s="27">
        <f t="shared" si="6"/>
        <v>0</v>
      </c>
      <c r="L162" s="63"/>
      <c r="M162" s="63"/>
      <c r="N162" s="1"/>
      <c r="O162" s="63">
        <f t="shared" si="4"/>
        <v>0</v>
      </c>
      <c r="P162" s="63"/>
      <c r="Q162" s="63"/>
      <c r="R162" s="20"/>
    </row>
    <row r="163" spans="1:38" ht="15.75" customHeight="1">
      <c r="A163" s="24">
        <v>82</v>
      </c>
      <c r="B163" s="23" t="s">
        <v>102</v>
      </c>
      <c r="C163" s="24" t="s">
        <v>18</v>
      </c>
      <c r="D163" s="23"/>
      <c r="E163" s="23" t="s">
        <v>19</v>
      </c>
      <c r="F163" s="60" t="s">
        <v>120</v>
      </c>
      <c r="G163" s="23" t="s">
        <v>142</v>
      </c>
      <c r="H163" s="25">
        <v>0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ht="15" customHeight="1">
      <c r="A164" s="24">
        <v>83</v>
      </c>
      <c r="B164" s="23" t="s">
        <v>103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f t="shared" si="6"/>
        <v>0</v>
      </c>
      <c r="L164" s="27"/>
      <c r="M164" s="27"/>
      <c r="N164" s="1">
        <v>1</v>
      </c>
      <c r="O164" s="27">
        <f t="shared" si="4"/>
        <v>12670.26</v>
      </c>
      <c r="P164" s="27">
        <f>1061.97+8854.17+2222.88+531.24</f>
        <v>12670.26</v>
      </c>
      <c r="Q164" s="27"/>
      <c r="R164" s="20"/>
    </row>
    <row r="165" spans="1:38" ht="15" customHeight="1">
      <c r="A165" s="24"/>
      <c r="B165" s="23" t="s">
        <v>103</v>
      </c>
      <c r="C165" s="24" t="s">
        <v>18</v>
      </c>
      <c r="D165" s="23"/>
      <c r="E165" s="23" t="s">
        <v>19</v>
      </c>
      <c r="F165" s="23" t="s">
        <v>456</v>
      </c>
      <c r="G165" s="23" t="s">
        <v>122</v>
      </c>
      <c r="H165" s="25">
        <v>9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2731.1</v>
      </c>
      <c r="P165" s="27">
        <v>2731.1</v>
      </c>
      <c r="Q165" s="27"/>
      <c r="R165" s="20"/>
    </row>
    <row r="166" spans="1:38" ht="15" customHeight="1">
      <c r="A166" s="41">
        <v>84</v>
      </c>
      <c r="B166" s="37" t="s">
        <v>302</v>
      </c>
      <c r="C166" s="41" t="s">
        <v>18</v>
      </c>
      <c r="D166" s="37"/>
      <c r="E166" s="37" t="s">
        <v>104</v>
      </c>
      <c r="F166" s="37" t="s">
        <v>461</v>
      </c>
      <c r="G166" s="37" t="s">
        <v>142</v>
      </c>
      <c r="H166" s="42">
        <v>13</v>
      </c>
      <c r="I166" s="40">
        <v>3</v>
      </c>
      <c r="J166" s="43">
        <v>3</v>
      </c>
      <c r="K166" s="39">
        <v>0</v>
      </c>
      <c r="L166" s="39"/>
      <c r="M166" s="39"/>
      <c r="N166" s="40"/>
      <c r="O166" s="39"/>
      <c r="P166" s="39"/>
      <c r="Q166" s="39"/>
      <c r="R166" s="20"/>
    </row>
    <row r="167" spans="1:38" ht="15" customHeight="1">
      <c r="A167" s="24"/>
      <c r="B167" s="23" t="s">
        <v>302</v>
      </c>
      <c r="C167" s="24" t="s">
        <v>18</v>
      </c>
      <c r="D167" s="23"/>
      <c r="E167" s="23" t="s">
        <v>19</v>
      </c>
      <c r="F167" s="23" t="s">
        <v>348</v>
      </c>
      <c r="G167" s="23" t="s">
        <v>122</v>
      </c>
      <c r="H167" s="25">
        <v>19</v>
      </c>
      <c r="I167" s="1">
        <v>3</v>
      </c>
      <c r="J167" s="26">
        <v>3</v>
      </c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20"/>
    </row>
    <row r="168" spans="1:38" ht="15" customHeight="1">
      <c r="A168" s="24">
        <v>85</v>
      </c>
      <c r="B168" s="23" t="s">
        <v>328</v>
      </c>
      <c r="C168" s="24" t="s">
        <v>18</v>
      </c>
      <c r="D168" s="23"/>
      <c r="E168" s="23" t="s">
        <v>19</v>
      </c>
      <c r="F168" s="23" t="s">
        <v>347</v>
      </c>
      <c r="G168" s="23" t="s">
        <v>122</v>
      </c>
      <c r="H168" s="25">
        <v>12</v>
      </c>
      <c r="I168" s="1">
        <v>1</v>
      </c>
      <c r="J168" s="26">
        <v>1</v>
      </c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5" customHeight="1">
      <c r="A169" s="24">
        <v>86</v>
      </c>
      <c r="B169" s="23" t="s">
        <v>314</v>
      </c>
      <c r="C169" s="24" t="s">
        <v>18</v>
      </c>
      <c r="D169" s="23"/>
      <c r="E169" s="23" t="s">
        <v>460</v>
      </c>
      <c r="F169" s="23" t="s">
        <v>435</v>
      </c>
      <c r="G169" s="23" t="s">
        <v>142</v>
      </c>
      <c r="H169" s="25">
        <v>4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0</v>
      </c>
      <c r="P169" s="27"/>
      <c r="Q169" s="27"/>
      <c r="R169" s="20"/>
    </row>
    <row r="170" spans="1:38" ht="15" customHeight="1">
      <c r="A170" s="41"/>
      <c r="B170" s="37" t="s">
        <v>314</v>
      </c>
      <c r="C170" s="41" t="s">
        <v>18</v>
      </c>
      <c r="D170" s="37"/>
      <c r="E170" s="37" t="s">
        <v>460</v>
      </c>
      <c r="F170" s="37" t="s">
        <v>474</v>
      </c>
      <c r="G170" s="37" t="s">
        <v>131</v>
      </c>
      <c r="H170" s="42">
        <v>2</v>
      </c>
      <c r="I170" s="40"/>
      <c r="J170" s="43"/>
      <c r="K170" s="27">
        <f t="shared" si="6"/>
        <v>0</v>
      </c>
      <c r="L170" s="39"/>
      <c r="M170" s="39"/>
      <c r="N170" s="40"/>
      <c r="O170" s="27">
        <f t="shared" si="4"/>
        <v>0</v>
      </c>
      <c r="P170" s="39"/>
      <c r="Q170" s="39"/>
      <c r="R170" s="20"/>
    </row>
    <row r="171" spans="1:38" ht="15" customHeight="1">
      <c r="A171" s="24"/>
      <c r="B171" s="23" t="s">
        <v>314</v>
      </c>
      <c r="C171" s="24" t="s">
        <v>18</v>
      </c>
      <c r="D171" s="23"/>
      <c r="E171" s="23" t="s">
        <v>460</v>
      </c>
      <c r="F171" s="23" t="s">
        <v>465</v>
      </c>
      <c r="G171" s="23" t="s">
        <v>136</v>
      </c>
      <c r="H171" s="25">
        <v>21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</row>
    <row r="172" spans="1:38" ht="15" customHeight="1">
      <c r="A172" s="24">
        <v>87</v>
      </c>
      <c r="B172" s="23" t="s">
        <v>330</v>
      </c>
      <c r="C172" s="24" t="s">
        <v>18</v>
      </c>
      <c r="D172" s="23"/>
      <c r="E172" s="23" t="s">
        <v>104</v>
      </c>
      <c r="F172" s="23" t="s">
        <v>341</v>
      </c>
      <c r="G172" s="23" t="s">
        <v>131</v>
      </c>
      <c r="H172" s="25">
        <v>11</v>
      </c>
      <c r="I172" s="1">
        <v>5</v>
      </c>
      <c r="J172" s="26">
        <v>5</v>
      </c>
      <c r="K172" s="27">
        <f t="shared" si="6"/>
        <v>0</v>
      </c>
      <c r="L172" s="27"/>
      <c r="M172" s="27"/>
      <c r="N172" s="1"/>
      <c r="O172" s="27">
        <f t="shared" si="4"/>
        <v>0</v>
      </c>
      <c r="P172" s="27"/>
      <c r="Q172" s="27"/>
      <c r="R172" s="20"/>
    </row>
    <row r="173" spans="1:38" s="28" customFormat="1" ht="15" customHeight="1">
      <c r="A173" s="24"/>
      <c r="B173" s="23" t="s">
        <v>330</v>
      </c>
      <c r="C173" s="24" t="s">
        <v>18</v>
      </c>
      <c r="D173" s="23"/>
      <c r="E173" s="23" t="s">
        <v>19</v>
      </c>
      <c r="F173" s="23" t="s">
        <v>346</v>
      </c>
      <c r="G173" s="23" t="s">
        <v>122</v>
      </c>
      <c r="H173" s="25">
        <v>11</v>
      </c>
      <c r="I173" s="1">
        <v>3</v>
      </c>
      <c r="J173" s="26">
        <v>3</v>
      </c>
      <c r="K173" s="27">
        <f t="shared" si="6"/>
        <v>0</v>
      </c>
      <c r="L173" s="27"/>
      <c r="M173" s="27"/>
      <c r="N173" s="1"/>
      <c r="O173" s="27">
        <f t="shared" si="4"/>
        <v>0</v>
      </c>
      <c r="P173" s="27"/>
      <c r="Q173" s="27"/>
      <c r="R173" s="31"/>
    </row>
    <row r="174" spans="1:38" ht="24.75" customHeight="1">
      <c r="A174" s="29">
        <v>88</v>
      </c>
      <c r="B174" s="30" t="s">
        <v>105</v>
      </c>
      <c r="C174" s="29" t="s">
        <v>30</v>
      </c>
      <c r="D174" s="30" t="s">
        <v>106</v>
      </c>
      <c r="E174" s="30" t="s">
        <v>19</v>
      </c>
      <c r="F174" s="30" t="s">
        <v>436</v>
      </c>
      <c r="G174" s="30" t="s">
        <v>142</v>
      </c>
      <c r="H174" s="25">
        <v>15</v>
      </c>
      <c r="I174" s="1"/>
      <c r="J174" s="26"/>
      <c r="K174" s="27">
        <f t="shared" si="6"/>
        <v>0</v>
      </c>
      <c r="L174" s="27"/>
      <c r="M174" s="27"/>
      <c r="N174" s="1"/>
      <c r="O174" s="27">
        <f t="shared" si="4"/>
        <v>23296.730000000003</v>
      </c>
      <c r="P174" s="27">
        <f>4712.69+2993.76+7569.59+911.84+7108.85</f>
        <v>23296.730000000003</v>
      </c>
      <c r="Q174" s="27"/>
      <c r="R174" s="20"/>
    </row>
    <row r="175" spans="1:38" ht="24.75" customHeight="1">
      <c r="A175" s="29">
        <v>89</v>
      </c>
      <c r="B175" s="30" t="s">
        <v>315</v>
      </c>
      <c r="C175" s="29" t="s">
        <v>18</v>
      </c>
      <c r="D175" s="30"/>
      <c r="E175" s="30" t="s">
        <v>19</v>
      </c>
      <c r="F175" s="30" t="s">
        <v>437</v>
      </c>
      <c r="G175" s="30" t="s">
        <v>142</v>
      </c>
      <c r="H175" s="25">
        <v>11</v>
      </c>
      <c r="I175" s="1">
        <v>7</v>
      </c>
      <c r="J175" s="26">
        <v>8</v>
      </c>
      <c r="K175" s="27">
        <f t="shared" si="6"/>
        <v>0</v>
      </c>
      <c r="L175" s="27"/>
      <c r="M175" s="27"/>
      <c r="N175" s="1"/>
      <c r="O175" s="27">
        <f t="shared" si="4"/>
        <v>0</v>
      </c>
      <c r="P175" s="27"/>
      <c r="Q175" s="27"/>
      <c r="R175" s="20"/>
    </row>
    <row r="176" spans="1:38" s="28" customFormat="1" ht="24.75" customHeight="1">
      <c r="A176" s="29"/>
      <c r="B176" s="30" t="s">
        <v>315</v>
      </c>
      <c r="C176" s="29" t="s">
        <v>18</v>
      </c>
      <c r="D176" s="30"/>
      <c r="E176" s="30" t="s">
        <v>322</v>
      </c>
      <c r="F176" s="30" t="s">
        <v>323</v>
      </c>
      <c r="G176" s="30" t="s">
        <v>124</v>
      </c>
      <c r="H176" s="25">
        <v>7</v>
      </c>
      <c r="I176" s="1"/>
      <c r="J176" s="26"/>
      <c r="K176" s="27">
        <f t="shared" si="6"/>
        <v>0</v>
      </c>
      <c r="L176" s="27"/>
      <c r="M176" s="27"/>
      <c r="N176" s="1"/>
      <c r="O176" s="27">
        <f t="shared" si="4"/>
        <v>0</v>
      </c>
      <c r="P176" s="27"/>
      <c r="Q176" s="27"/>
      <c r="R176" s="31"/>
    </row>
    <row r="177" spans="1:38" s="7" customFormat="1" ht="38.450000000000003" customHeight="1">
      <c r="A177" s="29">
        <v>90</v>
      </c>
      <c r="B177" s="30" t="s">
        <v>265</v>
      </c>
      <c r="C177" s="29" t="s">
        <v>18</v>
      </c>
      <c r="D177" s="30"/>
      <c r="E177" s="30" t="s">
        <v>19</v>
      </c>
      <c r="F177" s="30" t="s">
        <v>123</v>
      </c>
      <c r="G177" s="30" t="s">
        <v>142</v>
      </c>
      <c r="H177" s="25">
        <v>0</v>
      </c>
      <c r="I177" s="1"/>
      <c r="J177" s="26"/>
      <c r="K177" s="27">
        <f t="shared" si="6"/>
        <v>0</v>
      </c>
      <c r="L177" s="27"/>
      <c r="M177" s="27"/>
      <c r="N177" s="1"/>
      <c r="O177" s="27">
        <f t="shared" si="4"/>
        <v>0</v>
      </c>
      <c r="P177" s="27"/>
      <c r="Q177" s="27"/>
      <c r="R177" s="20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s="7" customFormat="1" ht="38.450000000000003" customHeight="1">
      <c r="A178" s="24">
        <v>91</v>
      </c>
      <c r="B178" s="23" t="s">
        <v>107</v>
      </c>
      <c r="C178" s="24" t="s">
        <v>18</v>
      </c>
      <c r="D178" s="23"/>
      <c r="E178" s="23" t="s">
        <v>41</v>
      </c>
      <c r="F178" s="30" t="s">
        <v>438</v>
      </c>
      <c r="G178" s="23" t="s">
        <v>142</v>
      </c>
      <c r="H178" s="25">
        <v>2</v>
      </c>
      <c r="I178" s="1">
        <v>1</v>
      </c>
      <c r="J178" s="26">
        <v>1</v>
      </c>
      <c r="K178" s="27">
        <f t="shared" si="6"/>
        <v>0</v>
      </c>
      <c r="L178" s="27"/>
      <c r="M178" s="27"/>
      <c r="N178" s="1">
        <v>6</v>
      </c>
      <c r="O178" s="27">
        <f t="shared" si="4"/>
        <v>1221.57</v>
      </c>
      <c r="P178" s="27">
        <v>1221.57</v>
      </c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ht="15.75" customHeight="1">
      <c r="A179" s="24"/>
      <c r="B179" s="23" t="s">
        <v>107</v>
      </c>
      <c r="C179" s="24" t="s">
        <v>18</v>
      </c>
      <c r="D179" s="23"/>
      <c r="E179" s="23" t="s">
        <v>41</v>
      </c>
      <c r="F179" s="23" t="s">
        <v>464</v>
      </c>
      <c r="G179" s="23" t="s">
        <v>136</v>
      </c>
      <c r="H179" s="25">
        <v>12</v>
      </c>
      <c r="I179" s="2">
        <v>7</v>
      </c>
      <c r="J179" s="26">
        <v>7</v>
      </c>
      <c r="K179" s="27">
        <f t="shared" si="6"/>
        <v>0</v>
      </c>
      <c r="L179" s="27"/>
      <c r="M179" s="27"/>
      <c r="N179" s="2">
        <v>19</v>
      </c>
      <c r="O179" s="27">
        <f t="shared" si="4"/>
        <v>36015.279999999999</v>
      </c>
      <c r="P179" s="27">
        <v>36015.279999999999</v>
      </c>
      <c r="Q179" s="27"/>
      <c r="R179" s="20"/>
    </row>
    <row r="180" spans="1:38" ht="16.5" customHeight="1">
      <c r="A180" s="24">
        <v>92</v>
      </c>
      <c r="B180" s="23" t="s">
        <v>108</v>
      </c>
      <c r="C180" s="24" t="s">
        <v>18</v>
      </c>
      <c r="D180" s="23"/>
      <c r="E180" s="23" t="s">
        <v>19</v>
      </c>
      <c r="F180" s="23" t="s">
        <v>439</v>
      </c>
      <c r="G180" s="23" t="s">
        <v>142</v>
      </c>
      <c r="H180" s="25">
        <v>40</v>
      </c>
      <c r="I180" s="1">
        <v>25</v>
      </c>
      <c r="J180" s="26">
        <v>25</v>
      </c>
      <c r="K180" s="27">
        <f t="shared" si="6"/>
        <v>13481.74</v>
      </c>
      <c r="L180" s="27">
        <f>13481.74</f>
        <v>13481.74</v>
      </c>
      <c r="M180" s="27"/>
      <c r="N180" s="1">
        <v>7</v>
      </c>
      <c r="O180" s="27">
        <f t="shared" si="4"/>
        <v>102505.09</v>
      </c>
      <c r="P180" s="27">
        <f>5327.91+336.8+5990.93</f>
        <v>11655.64</v>
      </c>
      <c r="Q180" s="27">
        <f>90849.45</f>
        <v>90849.45</v>
      </c>
      <c r="R180" s="20"/>
    </row>
    <row r="181" spans="1:38" s="7" customFormat="1" ht="16.5" customHeight="1">
      <c r="A181" s="24"/>
      <c r="B181" s="23" t="s">
        <v>108</v>
      </c>
      <c r="C181" s="24" t="s">
        <v>18</v>
      </c>
      <c r="D181" s="23"/>
      <c r="E181" s="23" t="s">
        <v>19</v>
      </c>
      <c r="F181" s="23" t="s">
        <v>345</v>
      </c>
      <c r="G181" s="23" t="s">
        <v>122</v>
      </c>
      <c r="H181" s="25">
        <v>13</v>
      </c>
      <c r="I181" s="1">
        <v>3</v>
      </c>
      <c r="J181" s="26">
        <v>3</v>
      </c>
      <c r="K181" s="27">
        <f t="shared" si="6"/>
        <v>0</v>
      </c>
      <c r="L181" s="27"/>
      <c r="M181" s="27"/>
      <c r="N181" s="1">
        <v>7</v>
      </c>
      <c r="O181" s="27">
        <f t="shared" si="4"/>
        <v>6290.34</v>
      </c>
      <c r="P181" s="27">
        <v>6290.34</v>
      </c>
      <c r="Q181" s="27"/>
      <c r="R181" s="20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s="7" customFormat="1" ht="16.5" customHeight="1">
      <c r="A182" s="24">
        <v>93</v>
      </c>
      <c r="B182" s="23" t="s">
        <v>146</v>
      </c>
      <c r="C182" s="24" t="s">
        <v>18</v>
      </c>
      <c r="D182" s="23"/>
      <c r="E182" s="23" t="s">
        <v>104</v>
      </c>
      <c r="F182" s="23" t="s">
        <v>475</v>
      </c>
      <c r="G182" s="23" t="s">
        <v>142</v>
      </c>
      <c r="H182" s="25">
        <v>20</v>
      </c>
      <c r="I182" s="1">
        <v>7</v>
      </c>
      <c r="J182" s="26">
        <v>7</v>
      </c>
      <c r="K182" s="27">
        <f t="shared" si="6"/>
        <v>0</v>
      </c>
      <c r="L182" s="27"/>
      <c r="M182" s="27"/>
      <c r="N182" s="1">
        <v>4</v>
      </c>
      <c r="O182" s="27">
        <f t="shared" si="4"/>
        <v>14026.97</v>
      </c>
      <c r="P182" s="27">
        <f>2891.29+9127.51+1007.87+1000.3</f>
        <v>14026.97</v>
      </c>
      <c r="Q182" s="27"/>
      <c r="R182" s="20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</row>
    <row r="183" spans="1:38" ht="23.45" customHeight="1">
      <c r="A183" s="29">
        <v>94</v>
      </c>
      <c r="B183" s="30" t="s">
        <v>109</v>
      </c>
      <c r="C183" s="29" t="s">
        <v>52</v>
      </c>
      <c r="D183" s="30" t="s">
        <v>110</v>
      </c>
      <c r="E183" s="30" t="s">
        <v>19</v>
      </c>
      <c r="F183" s="30" t="s">
        <v>440</v>
      </c>
      <c r="G183" s="30" t="s">
        <v>142</v>
      </c>
      <c r="H183" s="25">
        <v>50</v>
      </c>
      <c r="I183" s="1">
        <v>35</v>
      </c>
      <c r="J183" s="26">
        <v>35</v>
      </c>
      <c r="K183" s="27">
        <f t="shared" si="6"/>
        <v>11917.66</v>
      </c>
      <c r="L183" s="27">
        <f>2547.86+9369.8</f>
        <v>11917.66</v>
      </c>
      <c r="M183" s="27"/>
      <c r="N183" s="1">
        <v>17</v>
      </c>
      <c r="O183" s="27">
        <f t="shared" si="4"/>
        <v>73939.81</v>
      </c>
      <c r="P183" s="27">
        <f>8759.8+505.2+4743.98+1370.7+8567.35+22476.66+1292.01+10655.62+4946.22+5457.87+5164.4</f>
        <v>73939.81</v>
      </c>
      <c r="Q183" s="27"/>
      <c r="R183" s="20"/>
    </row>
    <row r="184" spans="1:38" s="7" customFormat="1" ht="27" customHeight="1">
      <c r="A184" s="29"/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344</v>
      </c>
      <c r="G184" s="30" t="s">
        <v>122</v>
      </c>
      <c r="H184" s="25">
        <v>28</v>
      </c>
      <c r="I184" s="1">
        <v>5</v>
      </c>
      <c r="J184" s="44">
        <v>5</v>
      </c>
      <c r="K184" s="27">
        <f t="shared" si="6"/>
        <v>0</v>
      </c>
      <c r="L184" s="27"/>
      <c r="M184" s="27"/>
      <c r="N184" s="1">
        <v>16</v>
      </c>
      <c r="O184" s="27">
        <f t="shared" si="4"/>
        <v>30487.919999999998</v>
      </c>
      <c r="P184" s="27">
        <v>14452.42</v>
      </c>
      <c r="Q184" s="27">
        <v>16035.499999999998</v>
      </c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7.75" customHeight="1">
      <c r="A185" s="24">
        <v>95</v>
      </c>
      <c r="B185" s="23" t="s">
        <v>111</v>
      </c>
      <c r="C185" s="24" t="s">
        <v>18</v>
      </c>
      <c r="D185" s="23"/>
      <c r="E185" s="23" t="s">
        <v>112</v>
      </c>
      <c r="F185" s="23" t="s">
        <v>441</v>
      </c>
      <c r="G185" s="23" t="s">
        <v>142</v>
      </c>
      <c r="H185" s="25">
        <v>8</v>
      </c>
      <c r="I185" s="1">
        <v>6</v>
      </c>
      <c r="J185" s="26">
        <v>6</v>
      </c>
      <c r="K185" s="27">
        <f t="shared" si="6"/>
        <v>0</v>
      </c>
      <c r="L185" s="27"/>
      <c r="M185" s="27"/>
      <c r="N185" s="1">
        <v>7</v>
      </c>
      <c r="O185" s="27">
        <f t="shared" si="4"/>
        <v>27541.74</v>
      </c>
      <c r="P185" s="27">
        <f>8928+13420.68+5193.06</f>
        <v>27541.74</v>
      </c>
      <c r="Q185" s="27"/>
      <c r="R185" s="20"/>
    </row>
    <row r="186" spans="1:38" ht="16.5" customHeight="1">
      <c r="A186" s="24"/>
      <c r="B186" s="23" t="s">
        <v>111</v>
      </c>
      <c r="C186" s="24" t="s">
        <v>18</v>
      </c>
      <c r="D186" s="23"/>
      <c r="E186" s="23" t="s">
        <v>112</v>
      </c>
      <c r="F186" s="23" t="s">
        <v>466</v>
      </c>
      <c r="G186" s="23" t="s">
        <v>136</v>
      </c>
      <c r="H186" s="25">
        <v>10</v>
      </c>
      <c r="I186" s="2"/>
      <c r="J186" s="26"/>
      <c r="K186" s="27">
        <f t="shared" si="6"/>
        <v>0</v>
      </c>
      <c r="L186" s="27"/>
      <c r="M186" s="27"/>
      <c r="N186" s="2">
        <v>3</v>
      </c>
      <c r="O186" s="27">
        <f t="shared" si="4"/>
        <v>0</v>
      </c>
      <c r="P186" s="27"/>
      <c r="Q186" s="27"/>
      <c r="R186" s="20"/>
    </row>
    <row r="187" spans="1:38" ht="16.5" customHeight="1">
      <c r="A187" s="41">
        <v>96</v>
      </c>
      <c r="B187" s="37" t="s">
        <v>482</v>
      </c>
      <c r="C187" s="41" t="s">
        <v>18</v>
      </c>
      <c r="D187" s="37"/>
      <c r="E187" s="37" t="s">
        <v>104</v>
      </c>
      <c r="F187" s="37" t="s">
        <v>483</v>
      </c>
      <c r="G187" s="37" t="s">
        <v>122</v>
      </c>
      <c r="H187" s="42">
        <v>4</v>
      </c>
      <c r="I187" s="38"/>
      <c r="J187" s="43"/>
      <c r="K187" s="27">
        <f t="shared" si="6"/>
        <v>0</v>
      </c>
      <c r="L187" s="39"/>
      <c r="M187" s="39"/>
      <c r="N187" s="38"/>
      <c r="O187" s="27">
        <f t="shared" si="4"/>
        <v>0</v>
      </c>
      <c r="P187" s="39"/>
      <c r="Q187" s="39"/>
      <c r="R187" s="20"/>
    </row>
    <row r="188" spans="1:38" ht="16.5" customHeight="1">
      <c r="A188" s="24">
        <v>97</v>
      </c>
      <c r="B188" s="23" t="s">
        <v>113</v>
      </c>
      <c r="C188" s="24" t="s">
        <v>18</v>
      </c>
      <c r="D188" s="23"/>
      <c r="E188" s="23" t="s">
        <v>19</v>
      </c>
      <c r="F188" s="23" t="s">
        <v>120</v>
      </c>
      <c r="G188" s="23" t="s">
        <v>142</v>
      </c>
      <c r="H188" s="25">
        <v>0</v>
      </c>
      <c r="I188" s="1"/>
      <c r="J188" s="26"/>
      <c r="K188" s="27">
        <f t="shared" si="6"/>
        <v>0</v>
      </c>
      <c r="L188" s="27"/>
      <c r="M188" s="27"/>
      <c r="N188" s="1">
        <v>2</v>
      </c>
      <c r="O188" s="27">
        <f t="shared" si="4"/>
        <v>660.75</v>
      </c>
      <c r="P188" s="27">
        <f>660.75</f>
        <v>660.75</v>
      </c>
      <c r="Q188" s="27"/>
      <c r="R188" s="20"/>
    </row>
    <row r="189" spans="1:38" ht="18.75" customHeight="1">
      <c r="A189" s="24"/>
      <c r="B189" s="23" t="s">
        <v>113</v>
      </c>
      <c r="C189" s="24" t="s">
        <v>18</v>
      </c>
      <c r="D189" s="23"/>
      <c r="E189" s="23" t="s">
        <v>19</v>
      </c>
      <c r="F189" s="23" t="s">
        <v>469</v>
      </c>
      <c r="G189" s="23" t="s">
        <v>122</v>
      </c>
      <c r="H189" s="25">
        <v>27</v>
      </c>
      <c r="I189" s="1">
        <v>3</v>
      </c>
      <c r="J189" s="26">
        <v>3</v>
      </c>
      <c r="K189" s="27">
        <f t="shared" si="6"/>
        <v>21623.34</v>
      </c>
      <c r="L189" s="27">
        <v>8070.34</v>
      </c>
      <c r="M189" s="27">
        <v>13553</v>
      </c>
      <c r="N189" s="1">
        <v>17</v>
      </c>
      <c r="O189" s="27">
        <f t="shared" si="4"/>
        <v>87493.26</v>
      </c>
      <c r="P189" s="27">
        <v>54672.69</v>
      </c>
      <c r="Q189" s="27">
        <v>32820.569999999992</v>
      </c>
      <c r="R189" s="20"/>
    </row>
    <row r="190" spans="1:38" ht="20.25" customHeight="1">
      <c r="A190" s="24">
        <v>98</v>
      </c>
      <c r="B190" s="23" t="s">
        <v>114</v>
      </c>
      <c r="C190" s="24" t="s">
        <v>18</v>
      </c>
      <c r="D190" s="23"/>
      <c r="E190" s="23" t="s">
        <v>41</v>
      </c>
      <c r="F190" s="23" t="s">
        <v>443</v>
      </c>
      <c r="G190" s="23" t="s">
        <v>142</v>
      </c>
      <c r="H190" s="25">
        <v>9</v>
      </c>
      <c r="I190" s="1">
        <v>5</v>
      </c>
      <c r="J190" s="26">
        <v>6</v>
      </c>
      <c r="K190" s="27">
        <f t="shared" si="6"/>
        <v>0</v>
      </c>
      <c r="L190" s="27"/>
      <c r="M190" s="27"/>
      <c r="N190" s="1">
        <v>4</v>
      </c>
      <c r="O190" s="27">
        <f t="shared" si="4"/>
        <v>12416.6</v>
      </c>
      <c r="P190" s="27">
        <f>7826.67+4589.93</f>
        <v>12416.6</v>
      </c>
      <c r="Q190" s="27"/>
      <c r="R190" s="20"/>
    </row>
    <row r="191" spans="1:38" ht="16.899999999999999" customHeight="1">
      <c r="A191" s="24"/>
      <c r="B191" s="23" t="s">
        <v>141</v>
      </c>
      <c r="C191" s="24" t="s">
        <v>18</v>
      </c>
      <c r="D191" s="23"/>
      <c r="E191" s="23" t="s">
        <v>41</v>
      </c>
      <c r="F191" s="23" t="s">
        <v>368</v>
      </c>
      <c r="G191" s="23" t="s">
        <v>136</v>
      </c>
      <c r="H191" s="25">
        <v>11</v>
      </c>
      <c r="I191" s="2">
        <v>3</v>
      </c>
      <c r="J191" s="26">
        <v>3</v>
      </c>
      <c r="K191" s="27">
        <f t="shared" si="6"/>
        <v>0</v>
      </c>
      <c r="L191" s="27"/>
      <c r="M191" s="27"/>
      <c r="N191" s="2">
        <v>6</v>
      </c>
      <c r="O191" s="27">
        <f t="shared" si="4"/>
        <v>31187.4</v>
      </c>
      <c r="P191" s="27">
        <v>31187.4</v>
      </c>
      <c r="Q191" s="27"/>
      <c r="R191" s="20"/>
    </row>
    <row r="192" spans="1:38" ht="16.899999999999999" customHeight="1">
      <c r="A192" s="24">
        <v>99</v>
      </c>
      <c r="B192" s="23" t="s">
        <v>309</v>
      </c>
      <c r="C192" s="24" t="s">
        <v>18</v>
      </c>
      <c r="D192" s="23"/>
      <c r="E192" s="23" t="s">
        <v>19</v>
      </c>
      <c r="F192" s="23" t="s">
        <v>442</v>
      </c>
      <c r="G192" s="23" t="s">
        <v>142</v>
      </c>
      <c r="H192" s="25">
        <v>26</v>
      </c>
      <c r="I192" s="2">
        <v>22</v>
      </c>
      <c r="J192" s="26">
        <v>23</v>
      </c>
      <c r="K192" s="27">
        <f>L192+M192</f>
        <v>7701.71</v>
      </c>
      <c r="L192" s="27">
        <f>7701.71</f>
        <v>7701.71</v>
      </c>
      <c r="M192" s="27"/>
      <c r="N192" s="2"/>
      <c r="O192" s="27"/>
      <c r="P192" s="27"/>
      <c r="Q192" s="27"/>
      <c r="R192" s="20"/>
    </row>
    <row r="193" spans="1:44" ht="16.899999999999999" customHeight="1">
      <c r="A193" s="24"/>
      <c r="B193" s="23" t="s">
        <v>309</v>
      </c>
      <c r="C193" s="24" t="s">
        <v>18</v>
      </c>
      <c r="D193" s="23"/>
      <c r="E193" s="23" t="s">
        <v>19</v>
      </c>
      <c r="F193" s="23" t="s">
        <v>343</v>
      </c>
      <c r="G193" s="23" t="s">
        <v>122</v>
      </c>
      <c r="H193" s="25">
        <v>8</v>
      </c>
      <c r="I193" s="2">
        <v>2</v>
      </c>
      <c r="J193" s="26">
        <v>2</v>
      </c>
      <c r="K193" s="27">
        <f t="shared" si="6"/>
        <v>1233.4000000000001</v>
      </c>
      <c r="L193" s="27">
        <v>704.8</v>
      </c>
      <c r="M193" s="27">
        <v>528.60000000000014</v>
      </c>
      <c r="N193" s="2"/>
      <c r="O193" s="27">
        <f t="shared" si="4"/>
        <v>0</v>
      </c>
      <c r="P193" s="27"/>
      <c r="Q193" s="27"/>
      <c r="R193" s="20"/>
    </row>
    <row r="194" spans="1:44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324</v>
      </c>
      <c r="G194" s="23" t="s">
        <v>124</v>
      </c>
      <c r="H194" s="25">
        <v>0</v>
      </c>
      <c r="I194" s="2"/>
      <c r="J194" s="26"/>
      <c r="K194" s="27">
        <f t="shared" si="6"/>
        <v>0</v>
      </c>
      <c r="L194" s="27"/>
      <c r="M194" s="27"/>
      <c r="N194" s="2"/>
      <c r="O194" s="27">
        <f t="shared" si="4"/>
        <v>0</v>
      </c>
      <c r="P194" s="27"/>
      <c r="Q194" s="27"/>
      <c r="R194" s="20"/>
    </row>
    <row r="195" spans="1:44" ht="24.6" customHeight="1">
      <c r="A195" s="29">
        <v>100</v>
      </c>
      <c r="B195" s="30" t="s">
        <v>115</v>
      </c>
      <c r="C195" s="29" t="s">
        <v>52</v>
      </c>
      <c r="D195" s="30" t="s">
        <v>110</v>
      </c>
      <c r="E195" s="30" t="s">
        <v>19</v>
      </c>
      <c r="F195" s="30"/>
      <c r="G195" s="30" t="s">
        <v>142</v>
      </c>
      <c r="H195" s="25">
        <v>0</v>
      </c>
      <c r="I195" s="1"/>
      <c r="J195" s="26"/>
      <c r="K195" s="27">
        <f t="shared" si="6"/>
        <v>0</v>
      </c>
      <c r="L195" s="27"/>
      <c r="M195" s="27"/>
      <c r="N195" s="1">
        <v>1</v>
      </c>
      <c r="O195" s="27">
        <f t="shared" ref="O195:O199" si="7">P195+Q195</f>
        <v>0</v>
      </c>
      <c r="P195" s="27"/>
      <c r="Q195" s="27"/>
      <c r="R195" s="20"/>
    </row>
    <row r="196" spans="1:44" ht="32.25" customHeight="1">
      <c r="A196" s="29"/>
      <c r="B196" s="30" t="s">
        <v>115</v>
      </c>
      <c r="C196" s="29" t="s">
        <v>52</v>
      </c>
      <c r="D196" s="30" t="s">
        <v>110</v>
      </c>
      <c r="E196" s="30" t="s">
        <v>19</v>
      </c>
      <c r="F196" s="30" t="s">
        <v>292</v>
      </c>
      <c r="G196" s="30" t="s">
        <v>122</v>
      </c>
      <c r="H196" s="25">
        <v>0</v>
      </c>
      <c r="I196" s="1"/>
      <c r="J196" s="44"/>
      <c r="K196" s="27">
        <f t="shared" si="6"/>
        <v>0</v>
      </c>
      <c r="L196" s="27"/>
      <c r="M196" s="27"/>
      <c r="N196" s="1">
        <v>1</v>
      </c>
      <c r="O196" s="27">
        <f t="shared" si="7"/>
        <v>0</v>
      </c>
      <c r="P196" s="27"/>
      <c r="Q196" s="27"/>
      <c r="R196" s="20"/>
    </row>
    <row r="197" spans="1:44" ht="34.9" customHeight="1">
      <c r="A197" s="29">
        <v>101</v>
      </c>
      <c r="B197" s="30" t="s">
        <v>116</v>
      </c>
      <c r="C197" s="29" t="s">
        <v>52</v>
      </c>
      <c r="D197" s="30" t="s">
        <v>117</v>
      </c>
      <c r="E197" s="30" t="s">
        <v>19</v>
      </c>
      <c r="F197" s="30" t="s">
        <v>444</v>
      </c>
      <c r="G197" s="30" t="s">
        <v>142</v>
      </c>
      <c r="H197" s="25">
        <v>38</v>
      </c>
      <c r="I197" s="1">
        <v>31</v>
      </c>
      <c r="J197" s="44">
        <v>32</v>
      </c>
      <c r="K197" s="27">
        <f t="shared" si="6"/>
        <v>33986.29</v>
      </c>
      <c r="L197" s="27">
        <f>16538.14+17448.15</f>
        <v>33986.29</v>
      </c>
      <c r="M197" s="27"/>
      <c r="N197" s="1">
        <v>5</v>
      </c>
      <c r="O197" s="27">
        <f t="shared" si="7"/>
        <v>14077.71</v>
      </c>
      <c r="P197" s="27">
        <v>14077.71</v>
      </c>
      <c r="Q197" s="27"/>
      <c r="R197" s="20"/>
    </row>
    <row r="198" spans="1:44" ht="28.5" customHeight="1">
      <c r="A198" s="29">
        <v>102</v>
      </c>
      <c r="B198" s="30" t="s">
        <v>209</v>
      </c>
      <c r="C198" s="29" t="s">
        <v>18</v>
      </c>
      <c r="D198" s="30"/>
      <c r="E198" s="30" t="s">
        <v>19</v>
      </c>
      <c r="F198" s="30" t="s">
        <v>123</v>
      </c>
      <c r="G198" s="30" t="s">
        <v>142</v>
      </c>
      <c r="H198" s="25">
        <v>0</v>
      </c>
      <c r="I198" s="1"/>
      <c r="J198" s="44"/>
      <c r="K198" s="27">
        <f t="shared" si="6"/>
        <v>0</v>
      </c>
      <c r="L198" s="27"/>
      <c r="M198" s="27"/>
      <c r="N198" s="1"/>
      <c r="O198" s="27">
        <f t="shared" si="7"/>
        <v>0</v>
      </c>
      <c r="P198" s="27"/>
      <c r="Q198" s="27"/>
      <c r="R198" s="20"/>
    </row>
    <row r="199" spans="1:44" ht="19.5" customHeight="1">
      <c r="A199" s="29">
        <v>103</v>
      </c>
      <c r="B199" s="30" t="s">
        <v>118</v>
      </c>
      <c r="C199" s="29" t="s">
        <v>18</v>
      </c>
      <c r="D199" s="30"/>
      <c r="E199" s="30" t="s">
        <v>41</v>
      </c>
      <c r="F199" s="30" t="s">
        <v>445</v>
      </c>
      <c r="G199" s="30" t="s">
        <v>142</v>
      </c>
      <c r="H199" s="25">
        <v>24</v>
      </c>
      <c r="I199" s="1">
        <v>13</v>
      </c>
      <c r="J199" s="44">
        <v>14</v>
      </c>
      <c r="K199" s="27">
        <f t="shared" si="6"/>
        <v>10009.780000000001</v>
      </c>
      <c r="L199" s="27">
        <v>10009.780000000001</v>
      </c>
      <c r="M199" s="27"/>
      <c r="N199" s="1">
        <v>23</v>
      </c>
      <c r="O199" s="27">
        <f t="shared" si="7"/>
        <v>33365.57</v>
      </c>
      <c r="P199" s="27">
        <f>2707.13+2929.33+825.14+2229.94+21058.63+3615.4</f>
        <v>33365.57</v>
      </c>
      <c r="Q199" s="27"/>
      <c r="R199" s="20"/>
    </row>
    <row r="200" spans="1:44" s="7" customFormat="1" ht="30.6" customHeight="1">
      <c r="A200" s="24"/>
      <c r="B200" s="23" t="s">
        <v>118</v>
      </c>
      <c r="C200" s="24" t="s">
        <v>18</v>
      </c>
      <c r="D200" s="23"/>
      <c r="E200" s="23" t="s">
        <v>41</v>
      </c>
      <c r="F200" s="23" t="s">
        <v>298</v>
      </c>
      <c r="G200" s="23" t="s">
        <v>124</v>
      </c>
      <c r="H200" s="25">
        <v>0</v>
      </c>
      <c r="I200" s="1"/>
      <c r="J200" s="44"/>
      <c r="K200" s="27">
        <f t="shared" si="6"/>
        <v>0</v>
      </c>
      <c r="L200" s="27"/>
      <c r="M200" s="27"/>
      <c r="N200" s="1">
        <v>1</v>
      </c>
      <c r="O200" s="27">
        <f>P200+Q200</f>
        <v>5462.2</v>
      </c>
      <c r="P200" s="27">
        <v>5462.2</v>
      </c>
      <c r="Q200" s="27"/>
      <c r="R200" s="20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</row>
    <row r="201" spans="1:44" s="14" customFormat="1" ht="27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123</v>
      </c>
      <c r="G201" s="23" t="s">
        <v>136</v>
      </c>
      <c r="H201" s="25">
        <v>0</v>
      </c>
      <c r="I201" s="2"/>
      <c r="J201" s="26"/>
      <c r="K201" s="27">
        <f t="shared" si="6"/>
        <v>0</v>
      </c>
      <c r="L201" s="27"/>
      <c r="M201" s="27"/>
      <c r="N201" s="2"/>
      <c r="O201" s="27">
        <f>P201+Q201</f>
        <v>0</v>
      </c>
      <c r="P201" s="27"/>
      <c r="Q201" s="27"/>
      <c r="R201" s="20"/>
      <c r="AM201" s="4"/>
      <c r="AN201" s="4"/>
      <c r="AO201" s="4"/>
      <c r="AP201" s="4"/>
      <c r="AQ201" s="4"/>
      <c r="AR201" s="4"/>
    </row>
    <row r="202" spans="1:44" s="14" customFormat="1" ht="27" customHeight="1">
      <c r="A202" s="46">
        <v>104</v>
      </c>
      <c r="B202" s="60" t="s">
        <v>325</v>
      </c>
      <c r="C202" s="46" t="s">
        <v>18</v>
      </c>
      <c r="D202" s="60"/>
      <c r="E202" s="60" t="s">
        <v>36</v>
      </c>
      <c r="F202" s="60" t="s">
        <v>446</v>
      </c>
      <c r="G202" s="60" t="s">
        <v>142</v>
      </c>
      <c r="H202" s="61">
        <v>10</v>
      </c>
      <c r="I202" s="32">
        <v>5</v>
      </c>
      <c r="J202" s="86">
        <v>5</v>
      </c>
      <c r="K202" s="27">
        <f t="shared" si="6"/>
        <v>0</v>
      </c>
      <c r="L202" s="63"/>
      <c r="M202" s="63"/>
      <c r="N202" s="32"/>
      <c r="O202" s="63">
        <v>0</v>
      </c>
      <c r="P202" s="63"/>
      <c r="Q202" s="63"/>
      <c r="R202" s="20"/>
      <c r="AM202" s="4"/>
      <c r="AN202" s="4"/>
      <c r="AO202" s="4"/>
      <c r="AP202" s="4"/>
      <c r="AQ202" s="4"/>
      <c r="AR202" s="4"/>
    </row>
    <row r="203" spans="1:44" s="14" customFormat="1" ht="27" customHeight="1">
      <c r="A203" s="46"/>
      <c r="B203" s="23" t="s">
        <v>325</v>
      </c>
      <c r="C203" s="24" t="s">
        <v>18</v>
      </c>
      <c r="D203" s="23"/>
      <c r="E203" s="23" t="s">
        <v>36</v>
      </c>
      <c r="F203" s="23" t="s">
        <v>369</v>
      </c>
      <c r="G203" s="23" t="s">
        <v>124</v>
      </c>
      <c r="H203" s="25">
        <v>3</v>
      </c>
      <c r="I203" s="2"/>
      <c r="J203" s="26"/>
      <c r="K203" s="27">
        <f t="shared" si="6"/>
        <v>0</v>
      </c>
      <c r="L203" s="27"/>
      <c r="M203" s="27"/>
      <c r="N203" s="2"/>
      <c r="O203" s="27">
        <v>0</v>
      </c>
      <c r="P203" s="27"/>
      <c r="Q203" s="27"/>
      <c r="R203" s="20"/>
      <c r="AM203" s="4"/>
      <c r="AN203" s="4"/>
      <c r="AO203" s="4"/>
      <c r="AP203" s="4"/>
      <c r="AQ203" s="4"/>
      <c r="AR203" s="4"/>
    </row>
    <row r="204" spans="1:44" s="14" customFormat="1" ht="18.75" customHeight="1" thickBot="1">
      <c r="A204" s="47"/>
      <c r="B204" s="48" t="s">
        <v>325</v>
      </c>
      <c r="C204" s="49" t="s">
        <v>18</v>
      </c>
      <c r="D204" s="48"/>
      <c r="E204" s="48" t="s">
        <v>370</v>
      </c>
      <c r="F204" s="48" t="s">
        <v>371</v>
      </c>
      <c r="G204" s="48" t="s">
        <v>136</v>
      </c>
      <c r="H204" s="50">
        <v>3</v>
      </c>
      <c r="I204" s="33"/>
      <c r="J204" s="51"/>
      <c r="K204" s="34">
        <f t="shared" si="6"/>
        <v>0</v>
      </c>
      <c r="L204" s="52"/>
      <c r="M204" s="52"/>
      <c r="N204" s="33"/>
      <c r="O204" s="52">
        <f>P204+Q204</f>
        <v>0</v>
      </c>
      <c r="P204" s="52"/>
      <c r="Q204" s="52"/>
      <c r="R204" s="20"/>
      <c r="AM204" s="4"/>
      <c r="AN204" s="4"/>
      <c r="AO204" s="4"/>
      <c r="AP204" s="4"/>
      <c r="AQ204" s="4"/>
      <c r="AR204" s="4"/>
    </row>
    <row r="205" spans="1:44" s="14" customFormat="1" ht="16.5" customHeight="1">
      <c r="A205" s="87" t="s">
        <v>145</v>
      </c>
      <c r="B205" s="87"/>
      <c r="C205" s="88"/>
      <c r="D205" s="89"/>
      <c r="E205" s="89"/>
      <c r="F205" s="89"/>
      <c r="G205" s="89"/>
      <c r="H205" s="88">
        <f>SUM(H10:H204)</f>
        <v>2305</v>
      </c>
      <c r="I205" s="88">
        <f>SUM(I10:I204)</f>
        <v>1012</v>
      </c>
      <c r="J205" s="88">
        <f>SUM(J10:J204)</f>
        <v>1091</v>
      </c>
      <c r="K205" s="90">
        <f>SUM(K10:K204)</f>
        <v>428768.79000000004</v>
      </c>
      <c r="L205" s="90">
        <f t="shared" ref="L205:Q205" si="8">SUM(L10:L204)</f>
        <v>354941.44</v>
      </c>
      <c r="M205" s="88">
        <f t="shared" si="8"/>
        <v>78169.800000000017</v>
      </c>
      <c r="N205" s="88">
        <f t="shared" si="8"/>
        <v>980</v>
      </c>
      <c r="O205" s="90">
        <f>SUM(O10:O204)</f>
        <v>2277568.9300000006</v>
      </c>
      <c r="P205" s="90">
        <f>SUM(P10:P204)</f>
        <v>1936825.7300000011</v>
      </c>
      <c r="Q205" s="88">
        <f t="shared" si="8"/>
        <v>340743.20000000007</v>
      </c>
      <c r="R205" s="20"/>
      <c r="AM205" s="4"/>
      <c r="AN205" s="4"/>
      <c r="AO205" s="4"/>
      <c r="AP205" s="4"/>
      <c r="AQ205" s="4"/>
      <c r="AR205" s="4"/>
    </row>
    <row r="206" spans="1:44" s="14" customFormat="1" ht="15" customHeight="1">
      <c r="A206" s="5"/>
      <c r="B206" s="6"/>
      <c r="C206" s="5"/>
      <c r="D206" s="6"/>
      <c r="E206" s="6"/>
      <c r="F206" s="6"/>
      <c r="G206" s="6"/>
      <c r="H206" s="9"/>
      <c r="I206" s="9"/>
      <c r="J206" s="9"/>
      <c r="K206" s="9"/>
      <c r="L206" s="9"/>
      <c r="M206" s="11"/>
      <c r="N206" s="9"/>
      <c r="O206" s="9"/>
      <c r="P206" s="5"/>
      <c r="Q206" s="13"/>
      <c r="R206" s="20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12"/>
      <c r="N207" s="4"/>
      <c r="O207" s="4"/>
      <c r="P207" s="4"/>
      <c r="Q207" s="12"/>
      <c r="R207" s="20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15"/>
      <c r="M208" s="19"/>
      <c r="N208" s="4"/>
      <c r="O208" s="4"/>
      <c r="P208" s="4"/>
      <c r="Q208" s="12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2"/>
      <c r="N209" s="15"/>
      <c r="O209" s="15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5"/>
      <c r="N210" s="15"/>
      <c r="O210" s="15"/>
      <c r="P210" s="15"/>
      <c r="Q210" s="19"/>
      <c r="S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15"/>
      <c r="Q211" s="19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AM213" s="4"/>
      <c r="AN213" s="4"/>
      <c r="AO213" s="4"/>
      <c r="AP213" s="4"/>
      <c r="AQ213" s="4"/>
      <c r="AR213" s="4"/>
    </row>
    <row r="214" spans="1:44">
      <c r="K214" s="15"/>
      <c r="L214" s="15"/>
      <c r="M214" s="15"/>
      <c r="N214" s="15"/>
      <c r="O214" s="15"/>
      <c r="P214" s="15"/>
      <c r="Q214" s="19"/>
      <c r="S214" s="20"/>
    </row>
    <row r="216" spans="1:44">
      <c r="K216" s="15"/>
      <c r="O216" s="15"/>
      <c r="P216" s="15"/>
    </row>
    <row r="219" spans="1:44">
      <c r="O219" s="15"/>
    </row>
    <row r="220" spans="1:44" s="12" customForma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15"/>
      <c r="N220" s="4"/>
      <c r="O220" s="4"/>
      <c r="P220" s="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4"/>
      <c r="AN220" s="4"/>
      <c r="AO220" s="4"/>
      <c r="AP220" s="4"/>
      <c r="AQ220" s="4"/>
      <c r="AR220" s="4"/>
    </row>
  </sheetData>
  <mergeCells count="8">
    <mergeCell ref="A205:B205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R221"/>
  <sheetViews>
    <sheetView topLeftCell="A2" zoomScale="70" zoomScaleNormal="70" workbookViewId="0">
      <selection activeCell="K14" sqref="A7:Q207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v>0</v>
      </c>
      <c r="L10" s="75"/>
      <c r="M10" s="75"/>
      <c r="N10" s="1">
        <v>1</v>
      </c>
      <c r="O10" s="27"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22</v>
      </c>
      <c r="I11" s="1">
        <v>10</v>
      </c>
      <c r="J11" s="26">
        <v>10</v>
      </c>
      <c r="K11" s="27">
        <v>15858</v>
      </c>
      <c r="L11" s="27">
        <v>15858</v>
      </c>
      <c r="M11" s="27"/>
      <c r="N11" s="1">
        <v>16</v>
      </c>
      <c r="O11" s="27">
        <v>65828.320000000007</v>
      </c>
      <c r="P11" s="27">
        <v>65828.320000000007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27</v>
      </c>
      <c r="I12" s="1">
        <v>11</v>
      </c>
      <c r="J12" s="26">
        <v>15</v>
      </c>
      <c r="K12" s="27">
        <v>0</v>
      </c>
      <c r="L12" s="27"/>
      <c r="M12" s="27"/>
      <c r="N12" s="1">
        <v>12</v>
      </c>
      <c r="O12" s="27">
        <v>19746.059999999998</v>
      </c>
      <c r="P12" s="27">
        <v>19746.059999999998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2</v>
      </c>
      <c r="I13" s="2"/>
      <c r="J13" s="26"/>
      <c r="K13" s="27">
        <v>0</v>
      </c>
      <c r="L13" s="27"/>
      <c r="M13" s="27"/>
      <c r="N13" s="2"/>
      <c r="O13" s="27"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12</v>
      </c>
      <c r="J14" s="26">
        <v>18</v>
      </c>
      <c r="K14" s="27">
        <v>0</v>
      </c>
      <c r="L14" s="27"/>
      <c r="M14" s="27"/>
      <c r="N14" s="1">
        <v>16</v>
      </c>
      <c r="O14" s="27">
        <v>18700.02</v>
      </c>
      <c r="P14" s="27"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v>0</v>
      </c>
      <c r="L15" s="27"/>
      <c r="M15" s="27"/>
      <c r="N15" s="2">
        <v>11</v>
      </c>
      <c r="O15" s="27">
        <v>35243.4</v>
      </c>
      <c r="P15" s="27">
        <v>35243.4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45</v>
      </c>
      <c r="I16" s="1">
        <v>38</v>
      </c>
      <c r="J16" s="26">
        <v>46</v>
      </c>
      <c r="K16" s="27">
        <v>13586.04</v>
      </c>
      <c r="L16" s="27">
        <v>13586.04</v>
      </c>
      <c r="M16" s="27"/>
      <c r="N16" s="1">
        <v>24</v>
      </c>
      <c r="O16" s="27">
        <v>47356.040000000008</v>
      </c>
      <c r="P16" s="27">
        <v>47356.040000000008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v>0</v>
      </c>
      <c r="L17" s="27"/>
      <c r="M17" s="27"/>
      <c r="N17" s="1"/>
      <c r="O17" s="27"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v>0</v>
      </c>
      <c r="L18" s="27"/>
      <c r="M18" s="27"/>
      <c r="N18" s="1"/>
      <c r="O18" s="27"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v>0</v>
      </c>
      <c r="L19" s="27"/>
      <c r="M19" s="27"/>
      <c r="N19" s="1">
        <v>5</v>
      </c>
      <c r="O19" s="27"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39</v>
      </c>
      <c r="I20" s="1">
        <v>29</v>
      </c>
      <c r="J20" s="26">
        <v>30</v>
      </c>
      <c r="K20" s="27">
        <v>7945.39</v>
      </c>
      <c r="L20" s="27">
        <v>7945.39</v>
      </c>
      <c r="M20" s="27"/>
      <c r="N20" s="1">
        <v>26</v>
      </c>
      <c r="O20" s="27">
        <v>58770.28</v>
      </c>
      <c r="P20" s="27">
        <v>58770.28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v>0</v>
      </c>
      <c r="L21" s="27"/>
      <c r="M21" s="27"/>
      <c r="N21" s="2">
        <v>2</v>
      </c>
      <c r="O21" s="27">
        <v>3786.7</v>
      </c>
      <c r="P21" s="27">
        <v>3786.7</v>
      </c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9</v>
      </c>
      <c r="I22" s="2">
        <v>2</v>
      </c>
      <c r="J22" s="26">
        <v>2</v>
      </c>
      <c r="K22" s="27">
        <v>1288.7</v>
      </c>
      <c r="L22" s="27">
        <v>1288.7</v>
      </c>
      <c r="M22" s="27"/>
      <c r="N22" s="2">
        <v>12</v>
      </c>
      <c r="O22" s="27"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v>0</v>
      </c>
      <c r="L23" s="27"/>
      <c r="M23" s="27"/>
      <c r="N23" s="2">
        <v>1</v>
      </c>
      <c r="O23" s="27">
        <v>6214.5599999999995</v>
      </c>
      <c r="P23" s="27">
        <v>6214.5599999999995</v>
      </c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v>0</v>
      </c>
      <c r="L24" s="27"/>
      <c r="M24" s="27"/>
      <c r="N24" s="1">
        <v>2</v>
      </c>
      <c r="O24" s="27"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v>0</v>
      </c>
      <c r="L25" s="27"/>
      <c r="M25" s="27"/>
      <c r="N25" s="1"/>
      <c r="O25" s="27">
        <v>0</v>
      </c>
      <c r="P25" s="27"/>
      <c r="Q25" s="27"/>
      <c r="R25" s="20"/>
    </row>
    <row r="26" spans="1:38" ht="15" customHeight="1">
      <c r="A26" s="41">
        <v>9</v>
      </c>
      <c r="B26" s="37" t="s">
        <v>484</v>
      </c>
      <c r="C26" s="41" t="s">
        <v>18</v>
      </c>
      <c r="D26" s="37"/>
      <c r="E26" s="37" t="s">
        <v>104</v>
      </c>
      <c r="F26" s="37" t="s">
        <v>487</v>
      </c>
      <c r="G26" s="37" t="s">
        <v>122</v>
      </c>
      <c r="H26" s="42">
        <v>3</v>
      </c>
      <c r="I26" s="40"/>
      <c r="J26" s="43"/>
      <c r="K26" s="39"/>
      <c r="L26" s="39"/>
      <c r="M26" s="39"/>
      <c r="N26" s="40"/>
      <c r="O26" s="39"/>
      <c r="P26" s="39"/>
      <c r="Q26" s="39"/>
      <c r="R26" s="20"/>
    </row>
    <row r="27" spans="1:3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v>4086.08</v>
      </c>
      <c r="L27" s="27">
        <v>4086.08</v>
      </c>
      <c r="M27" s="27"/>
      <c r="N27" s="1">
        <v>3</v>
      </c>
      <c r="O27" s="27">
        <v>0</v>
      </c>
      <c r="P27" s="27"/>
      <c r="Q27" s="27"/>
      <c r="R27" s="20"/>
    </row>
    <row r="28" spans="1:3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12</v>
      </c>
      <c r="I28" s="1">
        <v>8</v>
      </c>
      <c r="J28" s="44">
        <v>11</v>
      </c>
      <c r="K28" s="27">
        <v>0</v>
      </c>
      <c r="L28" s="27"/>
      <c r="M28" s="27"/>
      <c r="N28" s="1">
        <v>4</v>
      </c>
      <c r="O28" s="27">
        <v>12527.2</v>
      </c>
      <c r="P28" s="27">
        <v>12527.2</v>
      </c>
      <c r="Q28" s="27"/>
      <c r="R28" s="20"/>
    </row>
    <row r="29" spans="1:38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v>0</v>
      </c>
      <c r="L29" s="27"/>
      <c r="M29" s="27"/>
      <c r="N29" s="1">
        <v>2</v>
      </c>
      <c r="O29" s="27">
        <v>0</v>
      </c>
      <c r="P29" s="27"/>
      <c r="Q29" s="27"/>
      <c r="R29" s="20"/>
    </row>
    <row r="30" spans="1:38" s="7" customFormat="1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21</v>
      </c>
      <c r="I30" s="1">
        <v>18</v>
      </c>
      <c r="J30" s="26">
        <v>19</v>
      </c>
      <c r="K30" s="27">
        <v>1837.77</v>
      </c>
      <c r="L30" s="27">
        <v>1837.77</v>
      </c>
      <c r="M30" s="27"/>
      <c r="N30" s="1">
        <v>18</v>
      </c>
      <c r="O30" s="27">
        <v>16013.28</v>
      </c>
      <c r="P30" s="27">
        <v>16013.28</v>
      </c>
      <c r="Q30" s="27"/>
      <c r="R30" s="20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1:38" s="18" customFormat="1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v>0</v>
      </c>
      <c r="L31" s="27"/>
      <c r="M31" s="27"/>
      <c r="N31" s="2">
        <v>4</v>
      </c>
      <c r="O31" s="27">
        <v>0</v>
      </c>
      <c r="P31" s="27"/>
      <c r="Q31" s="27"/>
      <c r="R31" s="20"/>
    </row>
    <row r="32" spans="1:38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v>0</v>
      </c>
      <c r="L32" s="27"/>
      <c r="M32" s="27"/>
      <c r="N32" s="2">
        <v>5</v>
      </c>
      <c r="O32" s="27">
        <v>1585.8</v>
      </c>
      <c r="P32" s="27">
        <v>1585.8</v>
      </c>
      <c r="Q32" s="27"/>
      <c r="R32" s="20"/>
    </row>
    <row r="33" spans="1:38" s="7" customFormat="1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21</v>
      </c>
      <c r="I33" s="1">
        <v>12</v>
      </c>
      <c r="J33" s="26">
        <v>19</v>
      </c>
      <c r="K33" s="27">
        <v>6122.51</v>
      </c>
      <c r="L33" s="27">
        <v>6122.51</v>
      </c>
      <c r="M33" s="27"/>
      <c r="N33" s="1">
        <v>14</v>
      </c>
      <c r="O33" s="27">
        <v>38408.44</v>
      </c>
      <c r="P33" s="27">
        <v>38408.44</v>
      </c>
      <c r="Q33" s="27"/>
      <c r="R33" s="20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1:38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5</v>
      </c>
      <c r="I34" s="2">
        <v>2</v>
      </c>
      <c r="J34" s="26">
        <v>2</v>
      </c>
      <c r="K34" s="27">
        <v>1380.75</v>
      </c>
      <c r="L34" s="27">
        <v>1380.75</v>
      </c>
      <c r="M34" s="27"/>
      <c r="N34" s="2">
        <v>4</v>
      </c>
      <c r="O34" s="27">
        <v>2995.4</v>
      </c>
      <c r="P34" s="27">
        <v>2995.4</v>
      </c>
      <c r="Q34" s="27"/>
      <c r="R34" s="20"/>
    </row>
    <row r="35" spans="1:3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v>0</v>
      </c>
      <c r="L35" s="27"/>
      <c r="M35" s="27"/>
      <c r="N35" s="1">
        <v>5</v>
      </c>
      <c r="O35" s="27">
        <v>10226.050000000001</v>
      </c>
      <c r="P35" s="27">
        <v>10226.050000000001</v>
      </c>
      <c r="Q35" s="27"/>
      <c r="R35" s="20"/>
    </row>
    <row r="36" spans="1:38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v>0</v>
      </c>
      <c r="L36" s="27"/>
      <c r="M36" s="27"/>
      <c r="N36" s="1">
        <v>7</v>
      </c>
      <c r="O36" s="27">
        <v>2995.4</v>
      </c>
      <c r="P36" s="27">
        <v>2995.4</v>
      </c>
      <c r="Q36" s="27"/>
      <c r="R36" s="20"/>
    </row>
    <row r="37" spans="1:38" s="7" customFormat="1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14</v>
      </c>
      <c r="I37" s="1">
        <v>5</v>
      </c>
      <c r="J37" s="26">
        <v>5</v>
      </c>
      <c r="K37" s="27">
        <v>0</v>
      </c>
      <c r="L37" s="27"/>
      <c r="M37" s="27"/>
      <c r="N37" s="1">
        <v>10</v>
      </c>
      <c r="O37" s="27">
        <v>11156.02</v>
      </c>
      <c r="P37" s="27">
        <v>11156.02</v>
      </c>
      <c r="Q37" s="27"/>
      <c r="R37" s="20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1:38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16</v>
      </c>
      <c r="I38" s="2">
        <v>1</v>
      </c>
      <c r="J38" s="26">
        <v>1</v>
      </c>
      <c r="K38" s="27">
        <v>0</v>
      </c>
      <c r="L38" s="27"/>
      <c r="M38" s="27"/>
      <c r="N38" s="2">
        <v>6</v>
      </c>
      <c r="O38" s="27">
        <v>10660.1</v>
      </c>
      <c r="P38" s="27">
        <v>10660.1</v>
      </c>
      <c r="Q38" s="27"/>
      <c r="R38" s="20"/>
    </row>
    <row r="39" spans="1:3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18</v>
      </c>
      <c r="I39" s="1">
        <v>13</v>
      </c>
      <c r="J39" s="26">
        <v>15</v>
      </c>
      <c r="K39" s="27">
        <v>5154.01</v>
      </c>
      <c r="L39" s="27">
        <v>5154.01</v>
      </c>
      <c r="M39" s="27"/>
      <c r="N39" s="1">
        <v>12</v>
      </c>
      <c r="O39" s="27">
        <v>24143.260000000002</v>
      </c>
      <c r="P39" s="27">
        <v>24143.260000000002</v>
      </c>
      <c r="Q39" s="27"/>
      <c r="R39" s="20"/>
    </row>
    <row r="40" spans="1:38" ht="1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16</v>
      </c>
      <c r="I40" s="2">
        <v>3</v>
      </c>
      <c r="J40" s="26">
        <v>3</v>
      </c>
      <c r="K40" s="27">
        <v>0</v>
      </c>
      <c r="L40" s="27"/>
      <c r="M40" s="27"/>
      <c r="N40" s="2">
        <v>10</v>
      </c>
      <c r="O40" s="27">
        <v>19293.900000000001</v>
      </c>
      <c r="P40" s="27">
        <v>19293.900000000001</v>
      </c>
      <c r="Q40" s="27"/>
      <c r="R40" s="20"/>
    </row>
    <row r="41" spans="1:3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11</v>
      </c>
      <c r="I41" s="1">
        <v>6</v>
      </c>
      <c r="J41" s="26">
        <v>6</v>
      </c>
      <c r="K41" s="27">
        <v>1131.2</v>
      </c>
      <c r="L41" s="27">
        <v>1131.2</v>
      </c>
      <c r="M41" s="27"/>
      <c r="N41" s="1">
        <v>6</v>
      </c>
      <c r="O41" s="27">
        <v>4817.32</v>
      </c>
      <c r="P41" s="27">
        <v>4817.32</v>
      </c>
      <c r="Q41" s="27"/>
      <c r="R41" s="20"/>
    </row>
    <row r="42" spans="1:38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13</v>
      </c>
      <c r="I42" s="1"/>
      <c r="J42" s="26"/>
      <c r="K42" s="27">
        <v>0</v>
      </c>
      <c r="L42" s="27"/>
      <c r="M42" s="27"/>
      <c r="N42" s="1">
        <v>4</v>
      </c>
      <c r="O42" s="27">
        <v>4228.8</v>
      </c>
      <c r="P42" s="27">
        <v>4228.8</v>
      </c>
      <c r="Q42" s="27"/>
      <c r="R42" s="20"/>
    </row>
    <row r="43" spans="1:38" s="7" customFormat="1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24</v>
      </c>
      <c r="I43" s="1"/>
      <c r="J43" s="26"/>
      <c r="K43" s="27">
        <v>0</v>
      </c>
      <c r="L43" s="27"/>
      <c r="M43" s="27"/>
      <c r="N43" s="1"/>
      <c r="O43" s="27">
        <v>7158.4</v>
      </c>
      <c r="P43" s="27">
        <v>7158.4</v>
      </c>
      <c r="Q43" s="27"/>
      <c r="R43" s="20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 spans="1:38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v>0</v>
      </c>
      <c r="L44" s="27"/>
      <c r="M44" s="27"/>
      <c r="N44" s="2"/>
      <c r="O44" s="27">
        <v>0</v>
      </c>
      <c r="P44" s="27"/>
      <c r="Q44" s="27"/>
      <c r="R44" s="20"/>
    </row>
    <row r="45" spans="1:3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v>0</v>
      </c>
      <c r="L45" s="27"/>
      <c r="M45" s="27"/>
      <c r="N45" s="1">
        <v>5</v>
      </c>
      <c r="O45" s="27">
        <v>34238.410000000003</v>
      </c>
      <c r="P45" s="27">
        <v>34238.410000000003</v>
      </c>
      <c r="Q45" s="27"/>
      <c r="R45" s="20"/>
    </row>
    <row r="46" spans="1:38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9</v>
      </c>
      <c r="I46" s="1"/>
      <c r="J46" s="26"/>
      <c r="K46" s="27">
        <v>0</v>
      </c>
      <c r="L46" s="27"/>
      <c r="M46" s="27"/>
      <c r="N46" s="1">
        <v>5</v>
      </c>
      <c r="O46" s="27">
        <v>6431.3</v>
      </c>
      <c r="P46" s="27">
        <v>6431.3</v>
      </c>
      <c r="Q46" s="27"/>
      <c r="R46" s="20"/>
    </row>
    <row r="47" spans="1:3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v>0</v>
      </c>
      <c r="L47" s="27"/>
      <c r="M47" s="27"/>
      <c r="N47" s="1">
        <v>8</v>
      </c>
      <c r="O47" s="27">
        <v>15929.75</v>
      </c>
      <c r="P47" s="27">
        <v>15929.75</v>
      </c>
      <c r="Q47" s="27"/>
      <c r="R47" s="20"/>
    </row>
    <row r="48" spans="1:38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9</v>
      </c>
      <c r="I48" s="1">
        <v>2</v>
      </c>
      <c r="J48" s="26">
        <v>2</v>
      </c>
      <c r="K48" s="27">
        <v>0</v>
      </c>
      <c r="L48" s="27"/>
      <c r="M48" s="27"/>
      <c r="N48" s="1">
        <v>9</v>
      </c>
      <c r="O48" s="27">
        <v>20020.73</v>
      </c>
      <c r="P48" s="27">
        <v>20020.73</v>
      </c>
      <c r="Q48" s="27"/>
      <c r="R48" s="20"/>
    </row>
    <row r="49" spans="1:3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18</v>
      </c>
      <c r="I49" s="1">
        <v>15</v>
      </c>
      <c r="J49" s="26">
        <v>16</v>
      </c>
      <c r="K49" s="27">
        <v>8384.2800000000007</v>
      </c>
      <c r="L49" s="27">
        <v>8384.2800000000007</v>
      </c>
      <c r="M49" s="27"/>
      <c r="N49" s="1"/>
      <c r="O49" s="27">
        <v>0</v>
      </c>
      <c r="P49" s="27"/>
      <c r="Q49" s="27"/>
      <c r="R49" s="20"/>
    </row>
    <row r="50" spans="1:38" s="28" customFormat="1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8</v>
      </c>
      <c r="I50" s="1">
        <v>2</v>
      </c>
      <c r="J50" s="26">
        <v>2</v>
      </c>
      <c r="K50" s="27">
        <v>0</v>
      </c>
      <c r="L50" s="27"/>
      <c r="M50" s="27"/>
      <c r="N50" s="1"/>
      <c r="O50" s="27">
        <v>0</v>
      </c>
      <c r="P50" s="27"/>
      <c r="Q50" s="27"/>
      <c r="R50" s="31"/>
    </row>
    <row r="51" spans="1:3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15</v>
      </c>
      <c r="I51" s="1">
        <v>14</v>
      </c>
      <c r="J51" s="26">
        <v>16</v>
      </c>
      <c r="K51" s="27">
        <v>6913.6</v>
      </c>
      <c r="L51" s="27">
        <v>6913.6</v>
      </c>
      <c r="M51" s="27"/>
      <c r="N51" s="1">
        <v>8</v>
      </c>
      <c r="O51" s="27">
        <v>21680.73</v>
      </c>
      <c r="P51" s="27">
        <v>21680.73</v>
      </c>
      <c r="Q51" s="27"/>
      <c r="R51" s="20"/>
    </row>
    <row r="52" spans="1:38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v>0</v>
      </c>
      <c r="L52" s="27"/>
      <c r="M52" s="27"/>
      <c r="N52" s="1"/>
      <c r="O52" s="27">
        <v>0</v>
      </c>
      <c r="P52" s="27"/>
      <c r="Q52" s="27"/>
      <c r="R52" s="20"/>
    </row>
    <row r="53" spans="1:3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v>0</v>
      </c>
      <c r="L53" s="27"/>
      <c r="M53" s="27"/>
      <c r="N53" s="1">
        <v>10</v>
      </c>
      <c r="O53" s="27">
        <v>0</v>
      </c>
      <c r="P53" s="27"/>
      <c r="Q53" s="27"/>
      <c r="R53" s="20"/>
    </row>
    <row r="54" spans="1:38" s="7" customFormat="1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21</v>
      </c>
      <c r="I54" s="1">
        <v>10</v>
      </c>
      <c r="J54" s="26">
        <v>10</v>
      </c>
      <c r="K54" s="27">
        <v>0</v>
      </c>
      <c r="L54" s="27"/>
      <c r="M54" s="27"/>
      <c r="N54" s="1">
        <v>10</v>
      </c>
      <c r="O54" s="27">
        <v>35131.58</v>
      </c>
      <c r="P54" s="27">
        <v>35131.58</v>
      </c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11</v>
      </c>
      <c r="I55" s="2">
        <v>1</v>
      </c>
      <c r="J55" s="26">
        <v>1</v>
      </c>
      <c r="K55" s="27">
        <v>0</v>
      </c>
      <c r="L55" s="27"/>
      <c r="M55" s="27"/>
      <c r="N55" s="2">
        <v>2</v>
      </c>
      <c r="O55" s="27">
        <v>4052.6</v>
      </c>
      <c r="P55" s="27">
        <v>4052.6</v>
      </c>
      <c r="Q55" s="27"/>
      <c r="R55" s="20"/>
    </row>
    <row r="56" spans="1:38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v>0</v>
      </c>
      <c r="L56" s="27"/>
      <c r="M56" s="27"/>
      <c r="N56" s="2"/>
      <c r="O56" s="27">
        <v>0</v>
      </c>
      <c r="P56" s="27"/>
      <c r="Q56" s="27"/>
      <c r="R56" s="20"/>
    </row>
    <row r="57" spans="1:38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25</v>
      </c>
      <c r="I57" s="2">
        <v>1</v>
      </c>
      <c r="J57" s="26">
        <v>1</v>
      </c>
      <c r="K57" s="27">
        <v>0</v>
      </c>
      <c r="L57" s="27"/>
      <c r="M57" s="27"/>
      <c r="N57" s="2"/>
      <c r="O57" s="27">
        <v>0</v>
      </c>
      <c r="P57" s="27"/>
      <c r="Q57" s="27"/>
      <c r="R57" s="20"/>
    </row>
    <row r="58" spans="1:38" s="8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v>0</v>
      </c>
      <c r="L58" s="83"/>
      <c r="M58" s="83"/>
      <c r="N58" s="26"/>
      <c r="O58" s="27"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15</v>
      </c>
      <c r="I59" s="82"/>
      <c r="J59" s="26"/>
      <c r="K59" s="27">
        <v>0</v>
      </c>
      <c r="L59" s="83"/>
      <c r="M59" s="83"/>
      <c r="N59" s="26"/>
      <c r="O59" s="27"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41</v>
      </c>
      <c r="I60" s="26">
        <v>15</v>
      </c>
      <c r="J60" s="26">
        <v>15</v>
      </c>
      <c r="K60" s="27">
        <v>12981.51</v>
      </c>
      <c r="L60" s="83">
        <v>12981.51</v>
      </c>
      <c r="M60" s="83"/>
      <c r="N60" s="26"/>
      <c r="O60" s="27"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7" customFormat="1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33</v>
      </c>
      <c r="I61" s="1">
        <v>21</v>
      </c>
      <c r="J61" s="26">
        <v>21</v>
      </c>
      <c r="K61" s="27">
        <v>16237.82</v>
      </c>
      <c r="L61" s="27">
        <v>16237.82</v>
      </c>
      <c r="M61" s="27"/>
      <c r="N61" s="1">
        <v>16</v>
      </c>
      <c r="O61" s="27">
        <v>28261.599999999999</v>
      </c>
      <c r="P61" s="27">
        <v>28261.599999999999</v>
      </c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25</v>
      </c>
      <c r="I62" s="1">
        <v>14</v>
      </c>
      <c r="J62" s="26">
        <v>16</v>
      </c>
      <c r="K62" s="27">
        <v>1602.98</v>
      </c>
      <c r="L62" s="27">
        <v>1602.98</v>
      </c>
      <c r="M62" s="27"/>
      <c r="N62" s="1">
        <v>12</v>
      </c>
      <c r="O62" s="27">
        <v>37111.350000000006</v>
      </c>
      <c r="P62" s="27">
        <v>37111.350000000006</v>
      </c>
      <c r="Q62" s="27"/>
      <c r="R62" s="20"/>
    </row>
    <row r="63" spans="1:38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18</v>
      </c>
      <c r="I63" s="1">
        <v>4</v>
      </c>
      <c r="J63" s="26">
        <v>4</v>
      </c>
      <c r="K63" s="27">
        <v>3347.8</v>
      </c>
      <c r="L63" s="27">
        <v>3347.8</v>
      </c>
      <c r="M63" s="27"/>
      <c r="N63" s="1">
        <v>11</v>
      </c>
      <c r="O63" s="27">
        <v>22553.599999999999</v>
      </c>
      <c r="P63" s="27">
        <v>22553.599999999999</v>
      </c>
      <c r="Q63" s="27"/>
      <c r="R63" s="20"/>
    </row>
    <row r="64" spans="1:38" s="7" customFormat="1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15</v>
      </c>
      <c r="K64" s="27">
        <v>0</v>
      </c>
      <c r="L64" s="27"/>
      <c r="M64" s="27"/>
      <c r="N64" s="1">
        <v>21</v>
      </c>
      <c r="O64" s="27">
        <v>26863.22</v>
      </c>
      <c r="P64" s="27">
        <v>26863.22</v>
      </c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v>2114.4</v>
      </c>
      <c r="L65" s="27">
        <v>2114.4</v>
      </c>
      <c r="M65" s="27"/>
      <c r="N65" s="1">
        <v>19</v>
      </c>
      <c r="O65" s="27">
        <v>25742.82</v>
      </c>
      <c r="P65" s="27">
        <v>25742.82</v>
      </c>
      <c r="Q65" s="27"/>
      <c r="R65" s="20"/>
    </row>
    <row r="66" spans="1:38" s="7" customFormat="1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5</v>
      </c>
      <c r="J66" s="26">
        <v>5</v>
      </c>
      <c r="K66" s="27">
        <v>0</v>
      </c>
      <c r="L66" s="27"/>
      <c r="M66" s="27"/>
      <c r="N66" s="1">
        <v>5</v>
      </c>
      <c r="O66" s="27">
        <v>7690.6</v>
      </c>
      <c r="P66" s="27">
        <v>7690.6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12</v>
      </c>
      <c r="I67" s="1">
        <v>9</v>
      </c>
      <c r="J67" s="26">
        <v>9</v>
      </c>
      <c r="K67" s="27">
        <v>0</v>
      </c>
      <c r="L67" s="27"/>
      <c r="M67" s="27"/>
      <c r="N67" s="1">
        <v>9</v>
      </c>
      <c r="O67" s="27">
        <v>85225.84</v>
      </c>
      <c r="P67" s="27">
        <v>85225.84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v>0</v>
      </c>
      <c r="L68" s="27"/>
      <c r="M68" s="27"/>
      <c r="N68" s="1">
        <v>4</v>
      </c>
      <c r="O68" s="27">
        <v>2114.4</v>
      </c>
      <c r="P68" s="27">
        <v>2114.4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16</v>
      </c>
      <c r="I69" s="1">
        <v>9</v>
      </c>
      <c r="J69" s="26">
        <v>10</v>
      </c>
      <c r="K69" s="27">
        <v>1046.6300000000001</v>
      </c>
      <c r="L69" s="27">
        <v>1046.6300000000001</v>
      </c>
      <c r="M69" s="27"/>
      <c r="N69" s="1">
        <v>7</v>
      </c>
      <c r="O69" s="27">
        <v>6874.29</v>
      </c>
      <c r="P69" s="27">
        <v>6874.29</v>
      </c>
      <c r="Q69" s="27"/>
      <c r="R69" s="20"/>
    </row>
    <row r="70" spans="1:38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11</v>
      </c>
      <c r="I70" s="2">
        <v>4</v>
      </c>
      <c r="J70" s="26">
        <v>4</v>
      </c>
      <c r="K70" s="27">
        <v>0</v>
      </c>
      <c r="L70" s="27"/>
      <c r="M70" s="27"/>
      <c r="N70" s="2">
        <v>5</v>
      </c>
      <c r="O70" s="27">
        <v>0</v>
      </c>
      <c r="P70" s="27"/>
      <c r="Q70" s="27"/>
      <c r="R70" s="20"/>
    </row>
    <row r="71" spans="1:3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28</v>
      </c>
      <c r="I71" s="2">
        <v>20</v>
      </c>
      <c r="J71" s="26">
        <v>20</v>
      </c>
      <c r="K71" s="27">
        <v>3127.55</v>
      </c>
      <c r="L71" s="27">
        <v>3127.55</v>
      </c>
      <c r="M71" s="27"/>
      <c r="N71" s="2"/>
      <c r="O71" s="27">
        <v>0</v>
      </c>
      <c r="P71" s="27"/>
      <c r="Q71" s="27"/>
      <c r="R71" s="20"/>
    </row>
    <row r="72" spans="1:38" s="7" customFormat="1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36</v>
      </c>
      <c r="I72" s="1">
        <v>22</v>
      </c>
      <c r="J72" s="26">
        <v>23</v>
      </c>
      <c r="K72" s="27">
        <v>2199.6799999999998</v>
      </c>
      <c r="L72" s="27">
        <v>2199.6799999999998</v>
      </c>
      <c r="M72" s="27"/>
      <c r="N72" s="1">
        <v>21</v>
      </c>
      <c r="O72" s="27">
        <v>87678.12</v>
      </c>
      <c r="P72" s="27">
        <v>87678.12</v>
      </c>
      <c r="Q72" s="27"/>
      <c r="R72" s="20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1:38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v>0</v>
      </c>
      <c r="L73" s="27"/>
      <c r="M73" s="27"/>
      <c r="N73" s="2"/>
      <c r="O73" s="27">
        <v>0</v>
      </c>
      <c r="P73" s="27"/>
      <c r="Q73" s="27"/>
      <c r="R73" s="20"/>
    </row>
    <row r="74" spans="1:3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34</v>
      </c>
      <c r="I74" s="1">
        <v>22</v>
      </c>
      <c r="J74" s="26">
        <v>22</v>
      </c>
      <c r="K74" s="27">
        <v>16430.45</v>
      </c>
      <c r="L74" s="27">
        <v>16430.45</v>
      </c>
      <c r="M74" s="27"/>
      <c r="N74" s="1">
        <v>8</v>
      </c>
      <c r="O74" s="27">
        <v>28062.41</v>
      </c>
      <c r="P74" s="27">
        <v>28062.41</v>
      </c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476</v>
      </c>
      <c r="G75" s="23" t="s">
        <v>124</v>
      </c>
      <c r="H75" s="25">
        <v>0</v>
      </c>
      <c r="I75" s="1"/>
      <c r="J75" s="26"/>
      <c r="K75" s="27">
        <v>0</v>
      </c>
      <c r="L75" s="27"/>
      <c r="M75" s="27"/>
      <c r="N75" s="1">
        <v>1</v>
      </c>
      <c r="O75" s="27">
        <v>2146.4</v>
      </c>
      <c r="P75" s="27">
        <v>2146.4</v>
      </c>
      <c r="Q75" s="27"/>
      <c r="R75" s="20"/>
    </row>
    <row r="76" spans="1:3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11</v>
      </c>
      <c r="I76" s="1">
        <v>1</v>
      </c>
      <c r="J76" s="26">
        <v>1</v>
      </c>
      <c r="K76" s="27">
        <v>0</v>
      </c>
      <c r="L76" s="27"/>
      <c r="M76" s="27"/>
      <c r="N76" s="1">
        <v>8</v>
      </c>
      <c r="O76" s="27">
        <v>34947.040000000001</v>
      </c>
      <c r="P76" s="27">
        <v>34947.040000000001</v>
      </c>
      <c r="Q76" s="27"/>
      <c r="R76" s="20"/>
    </row>
    <row r="77" spans="1:38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v>0</v>
      </c>
      <c r="L77" s="27"/>
      <c r="M77" s="27"/>
      <c r="N77" s="1">
        <v>10</v>
      </c>
      <c r="O77" s="27">
        <v>9489.91</v>
      </c>
      <c r="P77" s="27">
        <v>9489.91</v>
      </c>
      <c r="Q77" s="27"/>
      <c r="R77" s="20"/>
    </row>
    <row r="78" spans="1:3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19</v>
      </c>
      <c r="I78" s="1">
        <v>8</v>
      </c>
      <c r="J78" s="26">
        <v>8</v>
      </c>
      <c r="K78" s="27">
        <v>4400.6000000000004</v>
      </c>
      <c r="L78" s="27">
        <v>4400.6000000000004</v>
      </c>
      <c r="M78" s="27"/>
      <c r="N78" s="1">
        <v>17</v>
      </c>
      <c r="O78" s="27">
        <v>46129.759999999995</v>
      </c>
      <c r="P78" s="27">
        <v>46129.759999999995</v>
      </c>
      <c r="Q78" s="27"/>
      <c r="R78" s="20"/>
    </row>
    <row r="79" spans="1:38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22</v>
      </c>
      <c r="I79" s="2"/>
      <c r="J79" s="26"/>
      <c r="K79" s="27">
        <v>0</v>
      </c>
      <c r="L79" s="27"/>
      <c r="M79" s="27"/>
      <c r="N79" s="2">
        <v>13</v>
      </c>
      <c r="O79" s="27">
        <v>9128.92</v>
      </c>
      <c r="P79" s="27">
        <v>9128.92</v>
      </c>
      <c r="Q79" s="27"/>
      <c r="R79" s="20"/>
    </row>
    <row r="80" spans="1:38" s="17" customFormat="1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v>0</v>
      </c>
      <c r="L80" s="27"/>
      <c r="M80" s="27"/>
      <c r="N80" s="2">
        <v>5</v>
      </c>
      <c r="O80" s="27">
        <v>0</v>
      </c>
      <c r="P80" s="27"/>
      <c r="Q80" s="27"/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9</v>
      </c>
      <c r="I81" s="1"/>
      <c r="J81" s="26"/>
      <c r="K81" s="27">
        <v>0</v>
      </c>
      <c r="L81" s="27"/>
      <c r="M81" s="27"/>
      <c r="N81" s="1">
        <v>11</v>
      </c>
      <c r="O81" s="27">
        <v>14624.6</v>
      </c>
      <c r="P81" s="27">
        <v>14624.6</v>
      </c>
      <c r="Q81" s="27"/>
      <c r="R81" s="20"/>
    </row>
    <row r="82" spans="1:3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12</v>
      </c>
      <c r="I82" s="1">
        <v>10</v>
      </c>
      <c r="J82" s="26">
        <v>10</v>
      </c>
      <c r="K82" s="27">
        <v>0</v>
      </c>
      <c r="L82" s="27"/>
      <c r="M82" s="27"/>
      <c r="N82" s="1"/>
      <c r="O82" s="27">
        <v>0</v>
      </c>
      <c r="P82" s="27"/>
      <c r="Q82" s="27"/>
      <c r="R82" s="20"/>
    </row>
    <row r="83" spans="1:38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10</v>
      </c>
      <c r="I83" s="1"/>
      <c r="J83" s="26"/>
      <c r="K83" s="27">
        <v>0</v>
      </c>
      <c r="L83" s="27"/>
      <c r="M83" s="27"/>
      <c r="N83" s="1"/>
      <c r="O83" s="27">
        <v>0</v>
      </c>
      <c r="P83" s="27"/>
      <c r="Q83" s="27"/>
      <c r="R83" s="20"/>
    </row>
    <row r="84" spans="1:38" s="17" customFormat="1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67</v>
      </c>
      <c r="I84" s="1">
        <v>28</v>
      </c>
      <c r="J84" s="26">
        <v>28</v>
      </c>
      <c r="K84" s="27">
        <v>26106.489999999998</v>
      </c>
      <c r="L84" s="27">
        <v>26106.489999999998</v>
      </c>
      <c r="M84" s="27"/>
      <c r="N84" s="1">
        <v>2</v>
      </c>
      <c r="O84" s="27">
        <v>9777.93</v>
      </c>
      <c r="P84" s="27">
        <v>9777.93</v>
      </c>
      <c r="Q84" s="27"/>
      <c r="R84" s="20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:38" s="17" customFormat="1" ht="15" customHeight="1">
      <c r="A85" s="41">
        <v>42</v>
      </c>
      <c r="B85" s="37" t="s">
        <v>486</v>
      </c>
      <c r="C85" s="41" t="s">
        <v>18</v>
      </c>
      <c r="D85" s="37"/>
      <c r="E85" s="37" t="s">
        <v>488</v>
      </c>
      <c r="F85" s="37" t="s">
        <v>268</v>
      </c>
      <c r="G85" s="37" t="s">
        <v>131</v>
      </c>
      <c r="H85" s="42">
        <v>3</v>
      </c>
      <c r="I85" s="40"/>
      <c r="J85" s="43"/>
      <c r="K85" s="39">
        <v>0</v>
      </c>
      <c r="L85" s="39"/>
      <c r="M85" s="39"/>
      <c r="N85" s="40"/>
      <c r="O85" s="39">
        <v>0</v>
      </c>
      <c r="P85" s="39"/>
      <c r="Q85" s="39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7" customFormat="1" ht="15" customHeight="1">
      <c r="A86" s="24">
        <v>43</v>
      </c>
      <c r="B86" s="23" t="s">
        <v>65</v>
      </c>
      <c r="C86" s="24" t="s">
        <v>18</v>
      </c>
      <c r="D86" s="23"/>
      <c r="E86" s="23" t="s">
        <v>66</v>
      </c>
      <c r="F86" s="23" t="s">
        <v>409</v>
      </c>
      <c r="G86" s="23" t="s">
        <v>142</v>
      </c>
      <c r="H86" s="25">
        <v>12</v>
      </c>
      <c r="I86" s="1">
        <v>2</v>
      </c>
      <c r="J86" s="26">
        <v>4</v>
      </c>
      <c r="K86" s="27">
        <v>0</v>
      </c>
      <c r="L86" s="27"/>
      <c r="M86" s="27"/>
      <c r="N86" s="1">
        <v>9</v>
      </c>
      <c r="O86" s="27">
        <v>7945.96</v>
      </c>
      <c r="P86" s="27">
        <v>7945.96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ht="15" customHeight="1">
      <c r="A87" s="24"/>
      <c r="B87" s="23" t="s">
        <v>65</v>
      </c>
      <c r="C87" s="24" t="s">
        <v>18</v>
      </c>
      <c r="D87" s="23"/>
      <c r="E87" s="23" t="s">
        <v>66</v>
      </c>
      <c r="F87" s="23" t="s">
        <v>123</v>
      </c>
      <c r="G87" s="23" t="s">
        <v>136</v>
      </c>
      <c r="H87" s="25">
        <v>0</v>
      </c>
      <c r="I87" s="2"/>
      <c r="J87" s="26"/>
      <c r="K87" s="27">
        <v>0</v>
      </c>
      <c r="L87" s="27"/>
      <c r="M87" s="27"/>
      <c r="N87" s="2"/>
      <c r="O87" s="27">
        <v>0</v>
      </c>
      <c r="P87" s="27"/>
      <c r="Q87" s="27"/>
      <c r="R87" s="20"/>
    </row>
    <row r="88" spans="1:38" s="7" customFormat="1" ht="15" customHeight="1">
      <c r="A88" s="24">
        <v>44</v>
      </c>
      <c r="B88" s="23" t="s">
        <v>67</v>
      </c>
      <c r="C88" s="24" t="s">
        <v>18</v>
      </c>
      <c r="D88" s="23"/>
      <c r="E88" s="23" t="s">
        <v>19</v>
      </c>
      <c r="F88" s="23" t="s">
        <v>410</v>
      </c>
      <c r="G88" s="23" t="s">
        <v>142</v>
      </c>
      <c r="H88" s="25">
        <v>36</v>
      </c>
      <c r="I88" s="1">
        <v>33</v>
      </c>
      <c r="J88" s="26">
        <v>34</v>
      </c>
      <c r="K88" s="27">
        <v>22987.47</v>
      </c>
      <c r="L88" s="27">
        <v>22987.47</v>
      </c>
      <c r="M88" s="27"/>
      <c r="N88" s="1">
        <v>14</v>
      </c>
      <c r="O88" s="27">
        <v>17059.530000000002</v>
      </c>
      <c r="P88" s="27">
        <v>17059.530000000002</v>
      </c>
      <c r="Q88" s="27"/>
      <c r="R88" s="20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 spans="1:38" s="28" customFormat="1" ht="15" customHeight="1">
      <c r="A89" s="24"/>
      <c r="B89" s="23" t="s">
        <v>67</v>
      </c>
      <c r="C89" s="24" t="s">
        <v>18</v>
      </c>
      <c r="D89" s="23"/>
      <c r="E89" s="23" t="s">
        <v>104</v>
      </c>
      <c r="F89" s="23" t="s">
        <v>123</v>
      </c>
      <c r="G89" s="23" t="s">
        <v>122</v>
      </c>
      <c r="H89" s="25">
        <v>0</v>
      </c>
      <c r="I89" s="1"/>
      <c r="J89" s="26"/>
      <c r="K89" s="27">
        <v>0</v>
      </c>
      <c r="L89" s="27"/>
      <c r="M89" s="27"/>
      <c r="N89" s="1"/>
      <c r="O89" s="27">
        <v>0</v>
      </c>
      <c r="P89" s="27"/>
      <c r="Q89" s="27"/>
      <c r="R89" s="20"/>
    </row>
    <row r="90" spans="1:38" ht="15" customHeight="1">
      <c r="A90" s="24">
        <v>45</v>
      </c>
      <c r="B90" s="23" t="s">
        <v>68</v>
      </c>
      <c r="C90" s="24" t="s">
        <v>18</v>
      </c>
      <c r="D90" s="24"/>
      <c r="E90" s="23" t="s">
        <v>50</v>
      </c>
      <c r="F90" s="23" t="s">
        <v>411</v>
      </c>
      <c r="G90" s="23" t="s">
        <v>142</v>
      </c>
      <c r="H90" s="25">
        <v>9</v>
      </c>
      <c r="I90" s="1"/>
      <c r="J90" s="26"/>
      <c r="K90" s="27">
        <v>0</v>
      </c>
      <c r="L90" s="27"/>
      <c r="M90" s="27"/>
      <c r="N90" s="1"/>
      <c r="O90" s="27">
        <v>0</v>
      </c>
      <c r="P90" s="27"/>
      <c r="Q90" s="27"/>
      <c r="R90" s="20"/>
    </row>
    <row r="91" spans="1:38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123</v>
      </c>
      <c r="G91" s="23" t="s">
        <v>136</v>
      </c>
      <c r="H91" s="25">
        <v>0</v>
      </c>
      <c r="I91" s="2"/>
      <c r="J91" s="26"/>
      <c r="K91" s="27">
        <v>0</v>
      </c>
      <c r="L91" s="27"/>
      <c r="M91" s="27"/>
      <c r="N91" s="2"/>
      <c r="O91" s="27">
        <v>0</v>
      </c>
      <c r="P91" s="27"/>
      <c r="Q91" s="27"/>
      <c r="R91" s="20"/>
    </row>
    <row r="92" spans="1:38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292</v>
      </c>
      <c r="G92" s="23" t="s">
        <v>124</v>
      </c>
      <c r="H92" s="25">
        <v>0</v>
      </c>
      <c r="I92" s="2"/>
      <c r="J92" s="26"/>
      <c r="K92" s="27">
        <v>0</v>
      </c>
      <c r="L92" s="27"/>
      <c r="M92" s="27"/>
      <c r="N92" s="2"/>
      <c r="O92" s="27">
        <v>0</v>
      </c>
      <c r="P92" s="27"/>
      <c r="Q92" s="27"/>
      <c r="R92" s="20"/>
    </row>
    <row r="93" spans="1:38" ht="15" customHeight="1">
      <c r="A93" s="24">
        <v>46</v>
      </c>
      <c r="B93" s="23" t="s">
        <v>127</v>
      </c>
      <c r="C93" s="24" t="s">
        <v>18</v>
      </c>
      <c r="D93" s="23"/>
      <c r="E93" s="23" t="s">
        <v>41</v>
      </c>
      <c r="F93" s="23" t="s">
        <v>412</v>
      </c>
      <c r="G93" s="23" t="s">
        <v>142</v>
      </c>
      <c r="H93" s="25">
        <v>15</v>
      </c>
      <c r="I93" s="2">
        <v>9</v>
      </c>
      <c r="J93" s="26">
        <v>10</v>
      </c>
      <c r="K93" s="27">
        <v>0</v>
      </c>
      <c r="L93" s="27"/>
      <c r="M93" s="27"/>
      <c r="N93" s="2">
        <v>7</v>
      </c>
      <c r="O93" s="27">
        <v>4981.9400000000005</v>
      </c>
      <c r="P93" s="27">
        <v>4981.9400000000005</v>
      </c>
      <c r="Q93" s="27"/>
      <c r="R93" s="20"/>
    </row>
    <row r="94" spans="1:38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364</v>
      </c>
      <c r="G94" s="23" t="s">
        <v>136</v>
      </c>
      <c r="H94" s="25">
        <v>11</v>
      </c>
      <c r="I94" s="2">
        <v>5</v>
      </c>
      <c r="J94" s="26">
        <v>5</v>
      </c>
      <c r="K94" s="27">
        <v>0</v>
      </c>
      <c r="L94" s="27"/>
      <c r="M94" s="27"/>
      <c r="N94" s="2">
        <v>19</v>
      </c>
      <c r="O94" s="27">
        <v>25636.7</v>
      </c>
      <c r="P94" s="27">
        <v>25636.7</v>
      </c>
      <c r="Q94" s="27"/>
      <c r="R94" s="20"/>
    </row>
    <row r="95" spans="1:38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375</v>
      </c>
      <c r="G95" s="23" t="s">
        <v>124</v>
      </c>
      <c r="H95" s="25">
        <v>1</v>
      </c>
      <c r="I95" s="2">
        <v>1</v>
      </c>
      <c r="J95" s="26">
        <v>1</v>
      </c>
      <c r="K95" s="27">
        <v>0</v>
      </c>
      <c r="L95" s="27"/>
      <c r="M95" s="27"/>
      <c r="N95" s="2">
        <v>3</v>
      </c>
      <c r="O95" s="27">
        <v>0</v>
      </c>
      <c r="P95" s="27"/>
      <c r="Q95" s="27"/>
      <c r="R95" s="20"/>
    </row>
    <row r="96" spans="1:38" s="7" customFormat="1" ht="15" customHeight="1">
      <c r="A96" s="74">
        <v>47</v>
      </c>
      <c r="B96" s="77" t="s">
        <v>69</v>
      </c>
      <c r="C96" s="74" t="s">
        <v>18</v>
      </c>
      <c r="D96" s="77"/>
      <c r="E96" s="77" t="s">
        <v>19</v>
      </c>
      <c r="F96" s="77" t="s">
        <v>292</v>
      </c>
      <c r="G96" s="77" t="s">
        <v>142</v>
      </c>
      <c r="H96" s="25">
        <v>0</v>
      </c>
      <c r="I96" s="1"/>
      <c r="J96" s="26"/>
      <c r="K96" s="27">
        <v>0</v>
      </c>
      <c r="L96" s="27"/>
      <c r="M96" s="27"/>
      <c r="N96" s="1"/>
      <c r="O96" s="27">
        <v>0</v>
      </c>
      <c r="P96" s="27"/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s="7" customFormat="1" ht="15.75" customHeight="1">
      <c r="A97" s="74">
        <v>48</v>
      </c>
      <c r="B97" s="77" t="s">
        <v>70</v>
      </c>
      <c r="C97" s="74" t="s">
        <v>18</v>
      </c>
      <c r="D97" s="77"/>
      <c r="E97" s="77" t="s">
        <v>19</v>
      </c>
      <c r="F97" s="77" t="s">
        <v>413</v>
      </c>
      <c r="G97" s="77" t="s">
        <v>142</v>
      </c>
      <c r="H97" s="25">
        <v>13</v>
      </c>
      <c r="I97" s="1">
        <v>8</v>
      </c>
      <c r="J97" s="26">
        <v>8</v>
      </c>
      <c r="K97" s="27">
        <v>2262.4</v>
      </c>
      <c r="L97" s="27">
        <v>2262.4</v>
      </c>
      <c r="M97" s="27"/>
      <c r="N97" s="1">
        <v>6</v>
      </c>
      <c r="O97" s="27">
        <v>9533.19</v>
      </c>
      <c r="P97" s="27">
        <v>9533.19</v>
      </c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ht="15" customHeight="1">
      <c r="A98" s="74">
        <v>49</v>
      </c>
      <c r="B98" s="77" t="s">
        <v>71</v>
      </c>
      <c r="C98" s="74" t="s">
        <v>18</v>
      </c>
      <c r="D98" s="77"/>
      <c r="E98" s="77" t="s">
        <v>32</v>
      </c>
      <c r="F98" s="77" t="s">
        <v>292</v>
      </c>
      <c r="G98" s="77" t="s">
        <v>121</v>
      </c>
      <c r="H98" s="25">
        <v>0</v>
      </c>
      <c r="I98" s="1"/>
      <c r="J98" s="26"/>
      <c r="K98" s="27">
        <v>0</v>
      </c>
      <c r="L98" s="27"/>
      <c r="M98" s="27"/>
      <c r="N98" s="1">
        <v>2</v>
      </c>
      <c r="O98" s="27">
        <v>10878.949999999999</v>
      </c>
      <c r="P98" s="27">
        <v>10878.949999999999</v>
      </c>
      <c r="Q98" s="27"/>
      <c r="R98" s="20"/>
    </row>
    <row r="99" spans="1:38" ht="15" customHeight="1">
      <c r="A99" s="24"/>
      <c r="B99" s="23" t="s">
        <v>71</v>
      </c>
      <c r="C99" s="24" t="s">
        <v>18</v>
      </c>
      <c r="D99" s="23"/>
      <c r="E99" s="23" t="s">
        <v>32</v>
      </c>
      <c r="F99" s="23" t="s">
        <v>292</v>
      </c>
      <c r="G99" s="23" t="s">
        <v>122</v>
      </c>
      <c r="H99" s="25">
        <v>0</v>
      </c>
      <c r="I99" s="1"/>
      <c r="J99" s="26"/>
      <c r="K99" s="27">
        <v>0</v>
      </c>
      <c r="L99" s="27"/>
      <c r="M99" s="27"/>
      <c r="N99" s="1"/>
      <c r="O99" s="27">
        <v>0</v>
      </c>
      <c r="P99" s="27"/>
      <c r="Q99" s="27"/>
      <c r="R99" s="20"/>
    </row>
    <row r="100" spans="1:38" ht="15" customHeight="1">
      <c r="A100" s="24">
        <v>50</v>
      </c>
      <c r="B100" s="23" t="s">
        <v>72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1"/>
      <c r="J100" s="26"/>
      <c r="K100" s="27">
        <v>0</v>
      </c>
      <c r="L100" s="27"/>
      <c r="M100" s="27"/>
      <c r="N100" s="1"/>
      <c r="O100" s="27">
        <v>0</v>
      </c>
      <c r="P100" s="27"/>
      <c r="Q100" s="27"/>
      <c r="R100" s="20"/>
    </row>
    <row r="101" spans="1:38" ht="15" customHeight="1">
      <c r="A101" s="24"/>
      <c r="B101" s="23" t="s">
        <v>72</v>
      </c>
      <c r="C101" s="24" t="s">
        <v>18</v>
      </c>
      <c r="D101" s="23"/>
      <c r="E101" s="23" t="s">
        <v>19</v>
      </c>
      <c r="F101" s="23" t="s">
        <v>292</v>
      </c>
      <c r="G101" s="23" t="s">
        <v>122</v>
      </c>
      <c r="H101" s="25">
        <v>0</v>
      </c>
      <c r="I101" s="1"/>
      <c r="J101" s="26"/>
      <c r="K101" s="27">
        <v>0</v>
      </c>
      <c r="L101" s="27"/>
      <c r="M101" s="27"/>
      <c r="N101" s="1"/>
      <c r="O101" s="27">
        <v>0</v>
      </c>
      <c r="P101" s="27"/>
      <c r="Q101" s="27"/>
      <c r="R101" s="20"/>
    </row>
    <row r="102" spans="1:38" ht="15" customHeight="1">
      <c r="A102" s="24">
        <v>51</v>
      </c>
      <c r="B102" s="23" t="s">
        <v>73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v>0</v>
      </c>
      <c r="L102" s="27"/>
      <c r="M102" s="27"/>
      <c r="N102" s="1"/>
      <c r="O102" s="27">
        <v>0</v>
      </c>
      <c r="P102" s="27"/>
      <c r="Q102" s="27"/>
      <c r="R102" s="20"/>
    </row>
    <row r="103" spans="1:38" s="7" customFormat="1" ht="15" customHeight="1">
      <c r="A103" s="24">
        <v>52</v>
      </c>
      <c r="B103" s="23" t="s">
        <v>74</v>
      </c>
      <c r="C103" s="24" t="s">
        <v>18</v>
      </c>
      <c r="D103" s="23"/>
      <c r="E103" s="23" t="s">
        <v>19</v>
      </c>
      <c r="F103" s="23" t="s">
        <v>414</v>
      </c>
      <c r="G103" s="23" t="s">
        <v>142</v>
      </c>
      <c r="H103" s="25">
        <v>25</v>
      </c>
      <c r="I103" s="1">
        <v>16</v>
      </c>
      <c r="J103" s="26">
        <v>17</v>
      </c>
      <c r="K103" s="27">
        <v>5328.29</v>
      </c>
      <c r="L103" s="27">
        <v>5328.29</v>
      </c>
      <c r="M103" s="27"/>
      <c r="N103" s="1">
        <v>10</v>
      </c>
      <c r="O103" s="27">
        <v>31383.29</v>
      </c>
      <c r="P103" s="27">
        <v>31383.29</v>
      </c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>
        <v>53</v>
      </c>
      <c r="B104" s="23" t="s">
        <v>312</v>
      </c>
      <c r="C104" s="24" t="s">
        <v>18</v>
      </c>
      <c r="D104" s="23"/>
      <c r="E104" s="23" t="s">
        <v>19</v>
      </c>
      <c r="F104" s="23" t="s">
        <v>415</v>
      </c>
      <c r="G104" s="23" t="s">
        <v>142</v>
      </c>
      <c r="H104" s="25">
        <v>14</v>
      </c>
      <c r="I104" s="1">
        <v>10</v>
      </c>
      <c r="J104" s="26">
        <v>10</v>
      </c>
      <c r="K104" s="27">
        <v>0</v>
      </c>
      <c r="L104" s="27"/>
      <c r="M104" s="27"/>
      <c r="N104" s="1"/>
      <c r="O104" s="27"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/>
      <c r="B105" s="23" t="s">
        <v>312</v>
      </c>
      <c r="C105" s="24" t="s">
        <v>18</v>
      </c>
      <c r="D105" s="23"/>
      <c r="E105" s="23" t="s">
        <v>304</v>
      </c>
      <c r="F105" s="23" t="s">
        <v>339</v>
      </c>
      <c r="G105" s="23" t="s">
        <v>131</v>
      </c>
      <c r="H105" s="25">
        <v>13</v>
      </c>
      <c r="I105" s="1">
        <v>3</v>
      </c>
      <c r="J105" s="26">
        <v>3</v>
      </c>
      <c r="K105" s="27">
        <v>1057.2</v>
      </c>
      <c r="L105" s="27">
        <v>1057.2</v>
      </c>
      <c r="M105" s="27"/>
      <c r="N105" s="1"/>
      <c r="O105" s="27">
        <v>0</v>
      </c>
      <c r="P105" s="28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7" customFormat="1" ht="15" customHeight="1">
      <c r="A106" s="24"/>
      <c r="B106" s="23" t="s">
        <v>312</v>
      </c>
      <c r="C106" s="24" t="s">
        <v>18</v>
      </c>
      <c r="D106" s="23"/>
      <c r="E106" s="23" t="s">
        <v>41</v>
      </c>
      <c r="F106" s="23" t="s">
        <v>467</v>
      </c>
      <c r="G106" s="23" t="s">
        <v>136</v>
      </c>
      <c r="H106" s="25">
        <v>31</v>
      </c>
      <c r="I106" s="1">
        <v>1</v>
      </c>
      <c r="J106" s="26">
        <v>1</v>
      </c>
      <c r="K106" s="27">
        <v>3005.05</v>
      </c>
      <c r="L106" s="27">
        <v>3005.05</v>
      </c>
      <c r="M106" s="27"/>
      <c r="N106" s="1"/>
      <c r="O106" s="27">
        <v>0</v>
      </c>
      <c r="P106" s="27"/>
      <c r="Q106" s="27"/>
      <c r="R106" s="20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</row>
    <row r="107" spans="1:38" ht="15" customHeight="1">
      <c r="A107" s="24">
        <v>54</v>
      </c>
      <c r="B107" s="23" t="s">
        <v>75</v>
      </c>
      <c r="C107" s="24" t="s">
        <v>18</v>
      </c>
      <c r="D107" s="23"/>
      <c r="E107" s="23" t="s">
        <v>19</v>
      </c>
      <c r="F107" s="23" t="s">
        <v>416</v>
      </c>
      <c r="G107" s="23" t="s">
        <v>142</v>
      </c>
      <c r="H107" s="25">
        <v>18</v>
      </c>
      <c r="I107" s="1">
        <v>12</v>
      </c>
      <c r="J107" s="26">
        <v>14</v>
      </c>
      <c r="K107" s="27">
        <v>2637.71</v>
      </c>
      <c r="L107" s="27">
        <v>2637.71</v>
      </c>
      <c r="M107" s="27"/>
      <c r="N107" s="1">
        <v>18</v>
      </c>
      <c r="O107" s="27">
        <v>81455.08</v>
      </c>
      <c r="P107" s="27">
        <v>81455.08</v>
      </c>
      <c r="Q107" s="27"/>
      <c r="R107" s="20"/>
    </row>
    <row r="108" spans="1:38" ht="13.15" customHeight="1">
      <c r="A108" s="24"/>
      <c r="B108" s="23" t="s">
        <v>75</v>
      </c>
      <c r="C108" s="24" t="s">
        <v>18</v>
      </c>
      <c r="D108" s="23"/>
      <c r="E108" s="23" t="s">
        <v>76</v>
      </c>
      <c r="F108" s="23" t="s">
        <v>335</v>
      </c>
      <c r="G108" s="23" t="s">
        <v>131</v>
      </c>
      <c r="H108" s="25">
        <v>24</v>
      </c>
      <c r="I108" s="1">
        <v>4</v>
      </c>
      <c r="J108" s="26">
        <v>4</v>
      </c>
      <c r="K108" s="27">
        <v>0</v>
      </c>
      <c r="L108" s="27"/>
      <c r="M108" s="27"/>
      <c r="N108" s="1">
        <v>17</v>
      </c>
      <c r="O108" s="27">
        <v>10660.1</v>
      </c>
      <c r="P108" s="27">
        <v>10660.1</v>
      </c>
      <c r="Q108" s="27"/>
      <c r="R108" s="20"/>
    </row>
    <row r="109" spans="1:38" ht="15" customHeight="1">
      <c r="A109" s="24"/>
      <c r="B109" s="23" t="s">
        <v>140</v>
      </c>
      <c r="C109" s="24" t="s">
        <v>18</v>
      </c>
      <c r="D109" s="23"/>
      <c r="E109" s="23" t="s">
        <v>76</v>
      </c>
      <c r="F109" s="23" t="s">
        <v>377</v>
      </c>
      <c r="G109" s="23" t="s">
        <v>136</v>
      </c>
      <c r="H109" s="25">
        <v>25</v>
      </c>
      <c r="I109" s="2">
        <v>8</v>
      </c>
      <c r="J109" s="26">
        <v>8</v>
      </c>
      <c r="K109" s="27">
        <v>0</v>
      </c>
      <c r="L109" s="27"/>
      <c r="M109" s="27"/>
      <c r="N109" s="2">
        <v>29</v>
      </c>
      <c r="O109" s="27">
        <v>76617.47</v>
      </c>
      <c r="P109" s="35">
        <v>76617.47</v>
      </c>
      <c r="Q109" s="27"/>
      <c r="R109" s="20"/>
    </row>
    <row r="110" spans="1:38" s="17" customFormat="1" ht="15" customHeight="1">
      <c r="A110" s="24">
        <v>55</v>
      </c>
      <c r="B110" s="23" t="s">
        <v>267</v>
      </c>
      <c r="C110" s="24" t="s">
        <v>18</v>
      </c>
      <c r="D110" s="23"/>
      <c r="E110" s="23" t="s">
        <v>19</v>
      </c>
      <c r="F110" s="23" t="s">
        <v>268</v>
      </c>
      <c r="G110" s="23" t="s">
        <v>142</v>
      </c>
      <c r="H110" s="25">
        <v>0</v>
      </c>
      <c r="I110" s="2"/>
      <c r="J110" s="26"/>
      <c r="K110" s="27">
        <v>0</v>
      </c>
      <c r="L110" s="27"/>
      <c r="M110" s="27"/>
      <c r="N110" s="2"/>
      <c r="O110" s="27">
        <v>0</v>
      </c>
      <c r="P110" s="27"/>
      <c r="Q110" s="27"/>
      <c r="R110" s="20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:38" s="17" customFormat="1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336</v>
      </c>
      <c r="G111" s="23" t="s">
        <v>131</v>
      </c>
      <c r="H111" s="25">
        <v>8</v>
      </c>
      <c r="I111" s="2">
        <v>1</v>
      </c>
      <c r="J111" s="26">
        <v>1</v>
      </c>
      <c r="K111" s="27">
        <v>0</v>
      </c>
      <c r="L111" s="27"/>
      <c r="M111" s="27"/>
      <c r="N111" s="2">
        <v>5</v>
      </c>
      <c r="O111" s="27">
        <v>2937.3</v>
      </c>
      <c r="P111" s="27">
        <v>2937.3</v>
      </c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455</v>
      </c>
      <c r="G112" s="23" t="s">
        <v>122</v>
      </c>
      <c r="H112" s="25">
        <v>9</v>
      </c>
      <c r="I112" s="2">
        <v>1</v>
      </c>
      <c r="J112" s="26">
        <v>1</v>
      </c>
      <c r="K112" s="27">
        <v>2290.6</v>
      </c>
      <c r="L112" s="27">
        <v>2290.6</v>
      </c>
      <c r="M112" s="27"/>
      <c r="N112" s="2">
        <v>3</v>
      </c>
      <c r="O112" s="27">
        <v>8545.7000000000007</v>
      </c>
      <c r="P112" s="27">
        <v>8545.7000000000007</v>
      </c>
      <c r="Q112" s="27"/>
      <c r="R112" s="20"/>
    </row>
    <row r="113" spans="1:38" ht="15" customHeight="1">
      <c r="A113" s="24">
        <v>56</v>
      </c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417</v>
      </c>
      <c r="G113" s="23" t="s">
        <v>142</v>
      </c>
      <c r="H113" s="25">
        <v>22</v>
      </c>
      <c r="I113" s="2">
        <v>15</v>
      </c>
      <c r="J113" s="26">
        <v>16</v>
      </c>
      <c r="K113" s="27">
        <v>0</v>
      </c>
      <c r="L113" s="27">
        <v>4342.45</v>
      </c>
      <c r="M113" s="27"/>
      <c r="N113" s="2"/>
      <c r="O113" s="27">
        <v>0</v>
      </c>
      <c r="P113" s="27"/>
      <c r="Q113" s="27"/>
      <c r="R113" s="20"/>
    </row>
    <row r="114" spans="1:38" ht="15" customHeight="1">
      <c r="A114" s="24"/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340</v>
      </c>
      <c r="G114" s="23" t="s">
        <v>131</v>
      </c>
      <c r="H114" s="25">
        <v>17</v>
      </c>
      <c r="I114" s="2">
        <v>3</v>
      </c>
      <c r="J114" s="26">
        <v>3</v>
      </c>
      <c r="K114" s="27">
        <v>0</v>
      </c>
      <c r="L114" s="27"/>
      <c r="M114" s="27"/>
      <c r="N114" s="2"/>
      <c r="O114" s="27">
        <v>0</v>
      </c>
      <c r="P114" s="27"/>
      <c r="Q114" s="27"/>
      <c r="R114" s="20"/>
    </row>
    <row r="115" spans="1:38" ht="15" customHeight="1">
      <c r="A115" s="24"/>
      <c r="B115" s="23" t="s">
        <v>306</v>
      </c>
      <c r="C115" s="24" t="s">
        <v>30</v>
      </c>
      <c r="D115" s="23" t="s">
        <v>307</v>
      </c>
      <c r="E115" s="23" t="s">
        <v>19</v>
      </c>
      <c r="F115" s="23" t="s">
        <v>350</v>
      </c>
      <c r="G115" s="23" t="s">
        <v>122</v>
      </c>
      <c r="H115" s="25">
        <v>12</v>
      </c>
      <c r="I115" s="2">
        <v>3</v>
      </c>
      <c r="J115" s="26">
        <v>3</v>
      </c>
      <c r="K115" s="27">
        <v>528.6</v>
      </c>
      <c r="L115" s="27">
        <v>528.6</v>
      </c>
      <c r="M115" s="27"/>
      <c r="N115" s="2"/>
      <c r="O115" s="27">
        <v>0</v>
      </c>
      <c r="P115" s="27"/>
      <c r="Q115" s="27"/>
      <c r="R115" s="20"/>
    </row>
    <row r="116" spans="1:38" ht="30.75" customHeight="1">
      <c r="A116" s="24">
        <v>57</v>
      </c>
      <c r="B116" s="23" t="s">
        <v>78</v>
      </c>
      <c r="C116" s="24" t="s">
        <v>18</v>
      </c>
      <c r="D116" s="23" t="s">
        <v>276</v>
      </c>
      <c r="E116" s="23" t="s">
        <v>19</v>
      </c>
      <c r="F116" s="23" t="s">
        <v>418</v>
      </c>
      <c r="G116" s="23" t="s">
        <v>142</v>
      </c>
      <c r="H116" s="25">
        <v>27</v>
      </c>
      <c r="I116" s="1">
        <v>24</v>
      </c>
      <c r="J116" s="26">
        <v>24</v>
      </c>
      <c r="K116" s="27">
        <v>17351.93</v>
      </c>
      <c r="L116" s="27">
        <v>17351.93</v>
      </c>
      <c r="M116" s="27"/>
      <c r="N116" s="1">
        <v>10</v>
      </c>
      <c r="O116" s="27">
        <v>25029.530000000002</v>
      </c>
      <c r="P116" s="27">
        <v>25029.530000000002</v>
      </c>
      <c r="Q116" s="27"/>
      <c r="R116" s="20"/>
    </row>
    <row r="117" spans="1:38" s="7" customFormat="1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131</v>
      </c>
      <c r="H117" s="25">
        <v>0</v>
      </c>
      <c r="I117" s="1"/>
      <c r="J117" s="26"/>
      <c r="K117" s="27">
        <v>0</v>
      </c>
      <c r="L117" s="27"/>
      <c r="M117" s="27"/>
      <c r="N117" s="1"/>
      <c r="O117" s="27"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122</v>
      </c>
      <c r="H118" s="25">
        <v>0</v>
      </c>
      <c r="I118" s="1"/>
      <c r="J118" s="26"/>
      <c r="K118" s="27">
        <v>0</v>
      </c>
      <c r="L118" s="27"/>
      <c r="M118" s="27"/>
      <c r="N118" s="1"/>
      <c r="O118" s="27">
        <v>0</v>
      </c>
      <c r="P118" s="27"/>
      <c r="Q118" s="27"/>
      <c r="R118" s="20"/>
    </row>
    <row r="119" spans="1:38" ht="15" customHeight="1">
      <c r="A119" s="24">
        <v>58</v>
      </c>
      <c r="B119" s="23" t="s">
        <v>79</v>
      </c>
      <c r="C119" s="24" t="s">
        <v>18</v>
      </c>
      <c r="D119" s="23"/>
      <c r="E119" s="23" t="s">
        <v>19</v>
      </c>
      <c r="F119" s="23"/>
      <c r="G119" s="23" t="s">
        <v>142</v>
      </c>
      <c r="H119" s="25">
        <v>0</v>
      </c>
      <c r="I119" s="1"/>
      <c r="J119" s="26"/>
      <c r="K119" s="27">
        <v>0</v>
      </c>
      <c r="L119" s="27"/>
      <c r="M119" s="27"/>
      <c r="N119" s="1"/>
      <c r="O119" s="27">
        <v>0</v>
      </c>
      <c r="P119" s="27"/>
      <c r="Q119" s="27"/>
      <c r="R119" s="20"/>
    </row>
    <row r="120" spans="1:38" ht="15" customHeight="1">
      <c r="A120" s="24">
        <v>59</v>
      </c>
      <c r="B120" s="23" t="s">
        <v>80</v>
      </c>
      <c r="C120" s="24" t="s">
        <v>18</v>
      </c>
      <c r="D120" s="23"/>
      <c r="E120" s="23" t="s">
        <v>19</v>
      </c>
      <c r="F120" s="23" t="s">
        <v>419</v>
      </c>
      <c r="G120" s="23" t="s">
        <v>142</v>
      </c>
      <c r="H120" s="25">
        <v>25</v>
      </c>
      <c r="I120" s="1">
        <v>20</v>
      </c>
      <c r="J120" s="26">
        <v>26</v>
      </c>
      <c r="K120" s="27">
        <v>13736.86</v>
      </c>
      <c r="L120" s="27">
        <v>13736.86</v>
      </c>
      <c r="M120" s="27"/>
      <c r="N120" s="1">
        <v>11</v>
      </c>
      <c r="O120" s="27">
        <v>34241.86</v>
      </c>
      <c r="P120" s="27">
        <v>34241.86</v>
      </c>
      <c r="Q120" s="27"/>
      <c r="R120" s="20"/>
    </row>
    <row r="121" spans="1:38" s="7" customFormat="1" ht="15" customHeight="1">
      <c r="A121" s="24"/>
      <c r="B121" s="23" t="s">
        <v>80</v>
      </c>
      <c r="C121" s="24" t="s">
        <v>18</v>
      </c>
      <c r="D121" s="23"/>
      <c r="E121" s="23" t="s">
        <v>19</v>
      </c>
      <c r="F121" s="23" t="s">
        <v>120</v>
      </c>
      <c r="G121" s="23" t="s">
        <v>122</v>
      </c>
      <c r="H121" s="25">
        <v>0</v>
      </c>
      <c r="I121" s="1"/>
      <c r="J121" s="26"/>
      <c r="K121" s="27">
        <v>0</v>
      </c>
      <c r="L121" s="27"/>
      <c r="M121" s="27"/>
      <c r="N121" s="1"/>
      <c r="O121" s="27">
        <v>0</v>
      </c>
      <c r="P121" s="27"/>
      <c r="Q121" s="27"/>
      <c r="R121" s="20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 spans="1:38" s="7" customFormat="1" ht="15" customHeight="1">
      <c r="A122" s="24">
        <v>60</v>
      </c>
      <c r="B122" s="23" t="s">
        <v>372</v>
      </c>
      <c r="C122" s="24" t="s">
        <v>18</v>
      </c>
      <c r="D122" s="23"/>
      <c r="E122" s="23" t="s">
        <v>19</v>
      </c>
      <c r="F122" s="23" t="s">
        <v>420</v>
      </c>
      <c r="G122" s="23" t="s">
        <v>142</v>
      </c>
      <c r="H122" s="25">
        <v>21</v>
      </c>
      <c r="I122" s="1">
        <v>3</v>
      </c>
      <c r="J122" s="26">
        <v>3</v>
      </c>
      <c r="K122" s="27">
        <v>0</v>
      </c>
      <c r="L122" s="27"/>
      <c r="M122" s="27"/>
      <c r="N122" s="1"/>
      <c r="O122" s="27"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>
        <v>61</v>
      </c>
      <c r="B123" s="23" t="s">
        <v>313</v>
      </c>
      <c r="C123" s="24" t="s">
        <v>18</v>
      </c>
      <c r="D123" s="23"/>
      <c r="E123" s="23"/>
      <c r="F123" s="23" t="s">
        <v>342</v>
      </c>
      <c r="G123" s="23" t="s">
        <v>131</v>
      </c>
      <c r="H123" s="25">
        <v>1</v>
      </c>
      <c r="I123" s="1"/>
      <c r="J123" s="26"/>
      <c r="K123" s="27">
        <v>0</v>
      </c>
      <c r="L123" s="27"/>
      <c r="M123" s="27"/>
      <c r="N123" s="1"/>
      <c r="O123" s="27"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7" customFormat="1" ht="15" customHeight="1">
      <c r="A124" s="24"/>
      <c r="B124" s="23" t="s">
        <v>313</v>
      </c>
      <c r="C124" s="24" t="s">
        <v>18</v>
      </c>
      <c r="D124" s="23"/>
      <c r="E124" s="23" t="s">
        <v>41</v>
      </c>
      <c r="F124" s="23" t="s">
        <v>366</v>
      </c>
      <c r="G124" s="23" t="s">
        <v>136</v>
      </c>
      <c r="H124" s="25">
        <v>27</v>
      </c>
      <c r="I124" s="1">
        <v>6</v>
      </c>
      <c r="J124" s="26">
        <v>6</v>
      </c>
      <c r="K124" s="27">
        <v>8633.26</v>
      </c>
      <c r="L124" s="27">
        <v>8633.26</v>
      </c>
      <c r="M124" s="27"/>
      <c r="N124" s="1"/>
      <c r="O124" s="27">
        <v>0</v>
      </c>
      <c r="P124" s="27"/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s="7" customFormat="1" ht="15" customHeight="1">
      <c r="A125" s="24">
        <v>62</v>
      </c>
      <c r="B125" s="23" t="s">
        <v>373</v>
      </c>
      <c r="C125" s="24" t="s">
        <v>52</v>
      </c>
      <c r="D125" s="23" t="s">
        <v>378</v>
      </c>
      <c r="E125" s="23" t="s">
        <v>104</v>
      </c>
      <c r="F125" s="23" t="s">
        <v>422</v>
      </c>
      <c r="G125" s="23" t="s">
        <v>142</v>
      </c>
      <c r="H125" s="25">
        <v>8</v>
      </c>
      <c r="I125" s="1"/>
      <c r="J125" s="26"/>
      <c r="K125" s="27">
        <v>0</v>
      </c>
      <c r="L125" s="27"/>
      <c r="M125" s="27"/>
      <c r="N125" s="1"/>
      <c r="O125" s="27"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5" customHeight="1">
      <c r="A126" s="24">
        <v>63</v>
      </c>
      <c r="B126" s="23" t="s">
        <v>81</v>
      </c>
      <c r="C126" s="24" t="s">
        <v>18</v>
      </c>
      <c r="D126" s="23"/>
      <c r="E126" s="23" t="s">
        <v>19</v>
      </c>
      <c r="F126" s="23" t="s">
        <v>421</v>
      </c>
      <c r="G126" s="23" t="s">
        <v>142</v>
      </c>
      <c r="H126" s="25">
        <v>15</v>
      </c>
      <c r="I126" s="1">
        <v>6</v>
      </c>
      <c r="J126" s="26">
        <v>6</v>
      </c>
      <c r="K126" s="27">
        <v>0</v>
      </c>
      <c r="L126" s="27"/>
      <c r="M126" s="27"/>
      <c r="N126" s="1">
        <v>5</v>
      </c>
      <c r="O126" s="27">
        <v>7736.87</v>
      </c>
      <c r="P126" s="27">
        <v>7736.87</v>
      </c>
      <c r="Q126" s="27"/>
      <c r="R126" s="20"/>
    </row>
    <row r="127" spans="1:38" ht="15" customHeight="1">
      <c r="A127" s="24"/>
      <c r="B127" s="23" t="s">
        <v>81</v>
      </c>
      <c r="C127" s="24" t="s">
        <v>18</v>
      </c>
      <c r="D127" s="23"/>
      <c r="E127" s="23" t="s">
        <v>19</v>
      </c>
      <c r="F127" s="23" t="s">
        <v>453</v>
      </c>
      <c r="G127" s="23" t="s">
        <v>122</v>
      </c>
      <c r="H127" s="25">
        <v>5</v>
      </c>
      <c r="I127" s="1"/>
      <c r="J127" s="26"/>
      <c r="K127" s="27">
        <v>0</v>
      </c>
      <c r="L127" s="27"/>
      <c r="M127" s="27"/>
      <c r="N127" s="1">
        <v>1</v>
      </c>
      <c r="O127" s="27">
        <v>1850.1</v>
      </c>
      <c r="P127" s="27">
        <v>1850.1</v>
      </c>
      <c r="Q127" s="27"/>
      <c r="R127" s="20"/>
    </row>
    <row r="128" spans="1:38" s="7" customFormat="1" ht="15" customHeight="1">
      <c r="A128" s="24">
        <v>64</v>
      </c>
      <c r="B128" s="23" t="s">
        <v>82</v>
      </c>
      <c r="C128" s="24" t="s">
        <v>18</v>
      </c>
      <c r="D128" s="23"/>
      <c r="E128" s="23" t="s">
        <v>19</v>
      </c>
      <c r="F128" s="23" t="s">
        <v>423</v>
      </c>
      <c r="G128" s="23" t="s">
        <v>142</v>
      </c>
      <c r="H128" s="25">
        <v>23</v>
      </c>
      <c r="I128" s="1">
        <v>20</v>
      </c>
      <c r="J128" s="26">
        <v>20</v>
      </c>
      <c r="K128" s="27">
        <v>4799.6900000000005</v>
      </c>
      <c r="L128" s="27">
        <v>4799.6900000000005</v>
      </c>
      <c r="M128" s="27"/>
      <c r="N128" s="1">
        <v>9</v>
      </c>
      <c r="O128" s="27">
        <v>23841.8</v>
      </c>
      <c r="P128" s="27">
        <v>23841.8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s="7" customFormat="1" ht="15" customHeight="1">
      <c r="A129" s="24"/>
      <c r="B129" s="23" t="s">
        <v>82</v>
      </c>
      <c r="C129" s="24" t="s">
        <v>18</v>
      </c>
      <c r="D129" s="23"/>
      <c r="E129" s="23" t="s">
        <v>19</v>
      </c>
      <c r="F129" s="23" t="s">
        <v>481</v>
      </c>
      <c r="G129" s="23" t="s">
        <v>122</v>
      </c>
      <c r="H129" s="25">
        <v>0</v>
      </c>
      <c r="I129" s="1"/>
      <c r="J129" s="26"/>
      <c r="K129" s="27">
        <v>0</v>
      </c>
      <c r="L129" s="27"/>
      <c r="M129" s="27"/>
      <c r="N129" s="1">
        <v>3</v>
      </c>
      <c r="O129" s="27">
        <v>528.6</v>
      </c>
      <c r="P129" s="27">
        <v>528.6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ht="14.45" customHeight="1">
      <c r="A130" s="24">
        <v>65</v>
      </c>
      <c r="B130" s="23" t="s">
        <v>83</v>
      </c>
      <c r="C130" s="24" t="s">
        <v>30</v>
      </c>
      <c r="D130" s="23" t="s">
        <v>184</v>
      </c>
      <c r="E130" s="23" t="s">
        <v>19</v>
      </c>
      <c r="F130" s="23" t="s">
        <v>424</v>
      </c>
      <c r="G130" s="23" t="s">
        <v>142</v>
      </c>
      <c r="H130" s="25">
        <v>50</v>
      </c>
      <c r="I130" s="1">
        <v>41</v>
      </c>
      <c r="J130" s="26">
        <v>41</v>
      </c>
      <c r="K130" s="27">
        <v>14837.82</v>
      </c>
      <c r="L130" s="27">
        <v>14837.82</v>
      </c>
      <c r="M130" s="27"/>
      <c r="N130" s="1">
        <v>13</v>
      </c>
      <c r="O130" s="27">
        <v>18488.010000000002</v>
      </c>
      <c r="P130" s="27">
        <v>18488.010000000002</v>
      </c>
      <c r="Q130" s="27"/>
      <c r="R130" s="20"/>
    </row>
    <row r="131" spans="1:38" ht="14.45" customHeight="1">
      <c r="A131" s="24">
        <v>66</v>
      </c>
      <c r="B131" s="23" t="s">
        <v>303</v>
      </c>
      <c r="C131" s="24" t="s">
        <v>18</v>
      </c>
      <c r="D131" s="23"/>
      <c r="E131" s="23" t="s">
        <v>304</v>
      </c>
      <c r="F131" s="23" t="s">
        <v>473</v>
      </c>
      <c r="G131" s="23" t="s">
        <v>131</v>
      </c>
      <c r="H131" s="25">
        <v>13</v>
      </c>
      <c r="I131" s="1"/>
      <c r="J131" s="26"/>
      <c r="K131" s="27">
        <v>0</v>
      </c>
      <c r="L131" s="27"/>
      <c r="M131" s="27"/>
      <c r="N131" s="1"/>
      <c r="O131" s="27">
        <v>0</v>
      </c>
      <c r="P131" s="27"/>
      <c r="Q131" s="27"/>
      <c r="R131" s="20"/>
    </row>
    <row r="132" spans="1:38" s="7" customFormat="1" ht="15" customHeight="1">
      <c r="A132" s="24">
        <v>67</v>
      </c>
      <c r="B132" s="23" t="s">
        <v>84</v>
      </c>
      <c r="C132" s="24" t="s">
        <v>18</v>
      </c>
      <c r="D132" s="23"/>
      <c r="E132" s="23" t="s">
        <v>19</v>
      </c>
      <c r="F132" s="23" t="s">
        <v>425</v>
      </c>
      <c r="G132" s="23" t="s">
        <v>142</v>
      </c>
      <c r="H132" s="25">
        <v>23</v>
      </c>
      <c r="I132" s="1">
        <v>19</v>
      </c>
      <c r="J132" s="26">
        <v>22</v>
      </c>
      <c r="K132" s="27">
        <v>15295.92</v>
      </c>
      <c r="L132" s="27">
        <v>15295.92</v>
      </c>
      <c r="M132" s="27"/>
      <c r="N132" s="1">
        <v>12</v>
      </c>
      <c r="O132" s="27">
        <v>19788.560000000001</v>
      </c>
      <c r="P132" s="27">
        <v>19788.560000000001</v>
      </c>
      <c r="Q132" s="27"/>
      <c r="R132" s="20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 spans="1:38" ht="15" customHeight="1">
      <c r="A133" s="24"/>
      <c r="B133" s="23" t="s">
        <v>84</v>
      </c>
      <c r="C133" s="24" t="s">
        <v>18</v>
      </c>
      <c r="D133" s="23"/>
      <c r="E133" s="23" t="s">
        <v>19</v>
      </c>
      <c r="F133" s="37" t="s">
        <v>468</v>
      </c>
      <c r="G133" s="23" t="s">
        <v>122</v>
      </c>
      <c r="H133" s="25">
        <v>0</v>
      </c>
      <c r="I133" s="1"/>
      <c r="J133" s="26"/>
      <c r="K133" s="27">
        <v>0</v>
      </c>
      <c r="L133" s="27"/>
      <c r="M133" s="27"/>
      <c r="N133" s="1"/>
      <c r="O133" s="27">
        <v>0</v>
      </c>
      <c r="P133" s="27"/>
      <c r="Q133" s="27"/>
      <c r="R133" s="20"/>
    </row>
    <row r="134" spans="1:38" ht="15" customHeight="1">
      <c r="A134" s="24">
        <v>68</v>
      </c>
      <c r="B134" s="23" t="s">
        <v>85</v>
      </c>
      <c r="C134" s="24" t="s">
        <v>18</v>
      </c>
      <c r="D134" s="23"/>
      <c r="E134" s="23" t="s">
        <v>77</v>
      </c>
      <c r="F134" s="23" t="s">
        <v>426</v>
      </c>
      <c r="G134" s="23" t="s">
        <v>142</v>
      </c>
      <c r="H134" s="25">
        <v>23</v>
      </c>
      <c r="I134" s="1">
        <v>17</v>
      </c>
      <c r="J134" s="26">
        <v>21</v>
      </c>
      <c r="K134" s="27">
        <v>0</v>
      </c>
      <c r="L134" s="27"/>
      <c r="M134" s="27"/>
      <c r="N134" s="1">
        <v>21</v>
      </c>
      <c r="O134" s="27">
        <v>29239.35</v>
      </c>
      <c r="P134" s="27">
        <v>29239.35</v>
      </c>
      <c r="Q134" s="27"/>
      <c r="R134" s="20"/>
    </row>
    <row r="135" spans="1:38" ht="15" customHeight="1">
      <c r="A135" s="24"/>
      <c r="B135" s="23" t="s">
        <v>85</v>
      </c>
      <c r="C135" s="24" t="s">
        <v>18</v>
      </c>
      <c r="D135" s="23"/>
      <c r="E135" s="23" t="s">
        <v>301</v>
      </c>
      <c r="F135" s="23" t="s">
        <v>337</v>
      </c>
      <c r="G135" s="23" t="s">
        <v>131</v>
      </c>
      <c r="H135" s="25">
        <v>41</v>
      </c>
      <c r="I135" s="1">
        <v>8</v>
      </c>
      <c r="J135" s="26">
        <v>8</v>
      </c>
      <c r="K135" s="27">
        <v>2466.8000000000002</v>
      </c>
      <c r="L135" s="27">
        <v>2466.8000000000002</v>
      </c>
      <c r="M135" s="27"/>
      <c r="N135" s="1">
        <v>19</v>
      </c>
      <c r="O135" s="27">
        <v>5330.06</v>
      </c>
      <c r="P135" s="27">
        <v>5330.06</v>
      </c>
      <c r="Q135" s="27"/>
      <c r="R135" s="20"/>
    </row>
    <row r="136" spans="1:38" ht="15" customHeight="1">
      <c r="A136" s="24">
        <v>69</v>
      </c>
      <c r="B136" s="23" t="s">
        <v>86</v>
      </c>
      <c r="C136" s="24" t="s">
        <v>18</v>
      </c>
      <c r="D136" s="23"/>
      <c r="E136" s="23" t="s">
        <v>77</v>
      </c>
      <c r="F136" s="23" t="s">
        <v>427</v>
      </c>
      <c r="G136" s="23" t="s">
        <v>142</v>
      </c>
      <c r="H136" s="25">
        <v>26</v>
      </c>
      <c r="I136" s="1">
        <v>13</v>
      </c>
      <c r="J136" s="26">
        <v>13</v>
      </c>
      <c r="K136" s="27">
        <v>0</v>
      </c>
      <c r="L136" s="27"/>
      <c r="M136" s="27"/>
      <c r="N136" s="1">
        <v>12</v>
      </c>
      <c r="O136" s="27">
        <v>22081.42</v>
      </c>
      <c r="P136" s="27">
        <v>22081.42</v>
      </c>
      <c r="Q136" s="27"/>
      <c r="R136" s="20"/>
    </row>
    <row r="137" spans="1:38" ht="15" customHeight="1">
      <c r="A137" s="24"/>
      <c r="B137" s="23" t="s">
        <v>86</v>
      </c>
      <c r="C137" s="24" t="s">
        <v>18</v>
      </c>
      <c r="D137" s="23"/>
      <c r="E137" s="23" t="s">
        <v>301</v>
      </c>
      <c r="F137" s="23" t="s">
        <v>338</v>
      </c>
      <c r="G137" s="23" t="s">
        <v>131</v>
      </c>
      <c r="H137" s="25">
        <v>5</v>
      </c>
      <c r="I137" s="1">
        <v>1</v>
      </c>
      <c r="J137" s="26">
        <v>1</v>
      </c>
      <c r="K137" s="27">
        <v>0</v>
      </c>
      <c r="L137" s="27"/>
      <c r="M137" s="27"/>
      <c r="N137" s="1">
        <v>4</v>
      </c>
      <c r="O137" s="27">
        <v>5030.51</v>
      </c>
      <c r="P137" s="27">
        <v>5030.51</v>
      </c>
      <c r="Q137" s="27"/>
      <c r="R137" s="20"/>
    </row>
    <row r="138" spans="1:38" ht="28.9" customHeight="1">
      <c r="A138" s="29">
        <v>70</v>
      </c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292</v>
      </c>
      <c r="G138" s="30" t="s">
        <v>142</v>
      </c>
      <c r="H138" s="25">
        <v>0</v>
      </c>
      <c r="I138" s="1"/>
      <c r="J138" s="26"/>
      <c r="K138" s="27">
        <v>0</v>
      </c>
      <c r="L138" s="27"/>
      <c r="M138" s="27"/>
      <c r="N138" s="1">
        <v>1</v>
      </c>
      <c r="O138" s="27">
        <v>1564.44</v>
      </c>
      <c r="P138" s="27">
        <v>1564.44</v>
      </c>
      <c r="Q138" s="27"/>
      <c r="R138" s="20"/>
    </row>
    <row r="139" spans="1:38" ht="29.25" customHeight="1">
      <c r="A139" s="29"/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376</v>
      </c>
      <c r="G139" s="30" t="s">
        <v>122</v>
      </c>
      <c r="H139" s="25">
        <v>25</v>
      </c>
      <c r="I139" s="1">
        <v>8</v>
      </c>
      <c r="J139" s="44">
        <v>8</v>
      </c>
      <c r="K139" s="27">
        <v>0</v>
      </c>
      <c r="L139" s="27"/>
      <c r="M139" s="27"/>
      <c r="N139" s="1">
        <v>5</v>
      </c>
      <c r="O139" s="27">
        <v>6677.98</v>
      </c>
      <c r="P139" s="27">
        <v>6677.98</v>
      </c>
      <c r="Q139" s="27"/>
      <c r="R139" s="20"/>
    </row>
    <row r="140" spans="1:38" ht="26.25" customHeight="1">
      <c r="A140" s="24">
        <v>71</v>
      </c>
      <c r="B140" s="23" t="s">
        <v>89</v>
      </c>
      <c r="C140" s="24" t="s">
        <v>18</v>
      </c>
      <c r="D140" s="23"/>
      <c r="E140" s="23" t="s">
        <v>19</v>
      </c>
      <c r="F140" s="23" t="s">
        <v>428</v>
      </c>
      <c r="G140" s="23" t="s">
        <v>142</v>
      </c>
      <c r="H140" s="25">
        <v>22</v>
      </c>
      <c r="I140" s="1">
        <v>13</v>
      </c>
      <c r="J140" s="26">
        <v>13</v>
      </c>
      <c r="K140" s="27">
        <v>3575.98</v>
      </c>
      <c r="L140" s="27">
        <v>3575.98</v>
      </c>
      <c r="M140" s="27"/>
      <c r="N140" s="1">
        <v>9</v>
      </c>
      <c r="O140" s="27">
        <v>23299.57</v>
      </c>
      <c r="P140" s="27">
        <v>23299.57</v>
      </c>
      <c r="Q140" s="27"/>
      <c r="R140" s="20"/>
    </row>
    <row r="141" spans="1:38" s="7" customFormat="1" ht="15" customHeight="1">
      <c r="A141" s="24"/>
      <c r="B141" s="23" t="s">
        <v>89</v>
      </c>
      <c r="C141" s="24" t="s">
        <v>18</v>
      </c>
      <c r="D141" s="23"/>
      <c r="E141" s="23" t="s">
        <v>19</v>
      </c>
      <c r="F141" s="23" t="s">
        <v>454</v>
      </c>
      <c r="G141" s="23" t="s">
        <v>122</v>
      </c>
      <c r="H141" s="25">
        <v>17</v>
      </c>
      <c r="I141" s="1">
        <v>1</v>
      </c>
      <c r="J141" s="26">
        <v>1</v>
      </c>
      <c r="K141" s="27">
        <v>0</v>
      </c>
      <c r="L141" s="27"/>
      <c r="M141" s="27"/>
      <c r="N141" s="1">
        <v>8</v>
      </c>
      <c r="O141" s="27">
        <v>13215</v>
      </c>
      <c r="P141" s="36">
        <v>13215</v>
      </c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ht="15" customHeight="1">
      <c r="A142" s="24">
        <v>72</v>
      </c>
      <c r="B142" s="23" t="s">
        <v>90</v>
      </c>
      <c r="C142" s="24" t="s">
        <v>18</v>
      </c>
      <c r="D142" s="23"/>
      <c r="E142" s="23" t="s">
        <v>19</v>
      </c>
      <c r="F142" s="23" t="s">
        <v>429</v>
      </c>
      <c r="G142" s="23" t="s">
        <v>142</v>
      </c>
      <c r="H142" s="25">
        <v>14</v>
      </c>
      <c r="I142" s="1">
        <v>10</v>
      </c>
      <c r="J142" s="26">
        <v>10</v>
      </c>
      <c r="K142" s="27">
        <v>2471.02</v>
      </c>
      <c r="L142" s="27">
        <v>2471.02</v>
      </c>
      <c r="M142" s="27"/>
      <c r="N142" s="1">
        <v>4</v>
      </c>
      <c r="O142" s="27">
        <v>10093.58</v>
      </c>
      <c r="P142" s="27">
        <v>10093.58</v>
      </c>
      <c r="Q142" s="27"/>
      <c r="R142" s="20"/>
    </row>
    <row r="143" spans="1:38" s="7" customFormat="1" ht="15" customHeight="1">
      <c r="A143" s="24">
        <v>73</v>
      </c>
      <c r="B143" s="23" t="s">
        <v>91</v>
      </c>
      <c r="C143" s="24" t="s">
        <v>18</v>
      </c>
      <c r="D143" s="23"/>
      <c r="E143" s="23" t="s">
        <v>92</v>
      </c>
      <c r="F143" s="23" t="s">
        <v>470</v>
      </c>
      <c r="G143" s="23" t="s">
        <v>142</v>
      </c>
      <c r="H143" s="25">
        <v>15</v>
      </c>
      <c r="I143" s="1">
        <v>1</v>
      </c>
      <c r="J143" s="26">
        <v>1</v>
      </c>
      <c r="K143" s="27">
        <v>0</v>
      </c>
      <c r="L143" s="27"/>
      <c r="M143" s="27"/>
      <c r="N143" s="1">
        <v>17</v>
      </c>
      <c r="O143" s="27">
        <v>35132.880000000005</v>
      </c>
      <c r="P143" s="27">
        <v>35132.880000000005</v>
      </c>
      <c r="Q143" s="27"/>
      <c r="R143" s="20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 spans="1:38" s="7" customFormat="1" ht="15" customHeight="1">
      <c r="A144" s="24"/>
      <c r="B144" s="23" t="s">
        <v>91</v>
      </c>
      <c r="C144" s="24" t="s">
        <v>18</v>
      </c>
      <c r="D144" s="23"/>
      <c r="E144" s="23" t="s">
        <v>92</v>
      </c>
      <c r="F144" s="23" t="s">
        <v>479</v>
      </c>
      <c r="G144" s="23" t="s">
        <v>136</v>
      </c>
      <c r="H144" s="25">
        <v>3</v>
      </c>
      <c r="I144" s="2"/>
      <c r="J144" s="26"/>
      <c r="K144" s="27">
        <v>0</v>
      </c>
      <c r="L144" s="27"/>
      <c r="M144" s="27"/>
      <c r="N144" s="2">
        <v>5</v>
      </c>
      <c r="O144" s="27">
        <v>1145.3</v>
      </c>
      <c r="P144" s="27">
        <v>1145.3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38" ht="15" customHeight="1">
      <c r="A145" s="24">
        <v>74</v>
      </c>
      <c r="B145" s="23" t="s">
        <v>93</v>
      </c>
      <c r="C145" s="24" t="s">
        <v>18</v>
      </c>
      <c r="D145" s="23"/>
      <c r="E145" s="23" t="s">
        <v>19</v>
      </c>
      <c r="F145" s="23" t="s">
        <v>123</v>
      </c>
      <c r="G145" s="23" t="s">
        <v>142</v>
      </c>
      <c r="H145" s="25">
        <v>0</v>
      </c>
      <c r="I145" s="2"/>
      <c r="J145" s="26"/>
      <c r="K145" s="27">
        <v>0</v>
      </c>
      <c r="L145" s="27"/>
      <c r="M145" s="27"/>
      <c r="N145" s="2">
        <v>1</v>
      </c>
      <c r="O145" s="27">
        <v>4017.3599999999997</v>
      </c>
      <c r="P145" s="27">
        <v>4017.3599999999997</v>
      </c>
      <c r="Q145" s="27"/>
      <c r="R145" s="20"/>
    </row>
    <row r="146" spans="1:38" s="17" customFormat="1" ht="15" customHeight="1">
      <c r="A146" s="24"/>
      <c r="B146" s="23" t="s">
        <v>93</v>
      </c>
      <c r="C146" s="24" t="s">
        <v>18</v>
      </c>
      <c r="D146" s="23"/>
      <c r="E146" s="23" t="s">
        <v>19</v>
      </c>
      <c r="F146" s="23" t="s">
        <v>120</v>
      </c>
      <c r="G146" s="23" t="s">
        <v>131</v>
      </c>
      <c r="H146" s="25">
        <v>0</v>
      </c>
      <c r="I146" s="1"/>
      <c r="J146" s="26"/>
      <c r="K146" s="27">
        <v>0</v>
      </c>
      <c r="L146" s="27"/>
      <c r="M146" s="27"/>
      <c r="N146" s="1">
        <v>1</v>
      </c>
      <c r="O146" s="27">
        <v>1797.24</v>
      </c>
      <c r="P146" s="27">
        <v>1797.24</v>
      </c>
      <c r="Q146" s="27"/>
      <c r="R146" s="20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</row>
    <row r="147" spans="1:38" ht="15" customHeight="1">
      <c r="A147" s="24"/>
      <c r="B147" s="23" t="s">
        <v>93</v>
      </c>
      <c r="C147" s="24" t="s">
        <v>18</v>
      </c>
      <c r="D147" s="23"/>
      <c r="E147" s="23"/>
      <c r="F147" s="23" t="s">
        <v>261</v>
      </c>
      <c r="G147" s="23" t="s">
        <v>122</v>
      </c>
      <c r="H147" s="25">
        <v>9</v>
      </c>
      <c r="I147" s="1">
        <v>3</v>
      </c>
      <c r="J147" s="26">
        <v>3</v>
      </c>
      <c r="K147" s="27">
        <v>0</v>
      </c>
      <c r="L147" s="27"/>
      <c r="M147" s="27"/>
      <c r="N147" s="1">
        <v>2</v>
      </c>
      <c r="O147" s="27">
        <v>792.9</v>
      </c>
      <c r="P147" s="27">
        <v>792.9</v>
      </c>
      <c r="Q147" s="27"/>
      <c r="R147" s="20"/>
    </row>
    <row r="148" spans="1:38" ht="15" customHeight="1">
      <c r="A148" s="24">
        <v>75</v>
      </c>
      <c r="B148" s="23" t="s">
        <v>281</v>
      </c>
      <c r="C148" s="24" t="s">
        <v>18</v>
      </c>
      <c r="D148" s="23"/>
      <c r="E148" s="23" t="s">
        <v>19</v>
      </c>
      <c r="F148" s="23" t="s">
        <v>430</v>
      </c>
      <c r="G148" s="23" t="s">
        <v>142</v>
      </c>
      <c r="H148" s="25">
        <v>14</v>
      </c>
      <c r="I148" s="1">
        <v>6</v>
      </c>
      <c r="J148" s="26">
        <v>7</v>
      </c>
      <c r="K148" s="27">
        <v>2702.63</v>
      </c>
      <c r="L148" s="27">
        <v>2702.63</v>
      </c>
      <c r="M148" s="27"/>
      <c r="N148" s="1">
        <v>2</v>
      </c>
      <c r="O148" s="27">
        <v>2640.13</v>
      </c>
      <c r="P148" s="27">
        <v>2640.13</v>
      </c>
      <c r="Q148" s="27"/>
      <c r="R148" s="20"/>
    </row>
    <row r="149" spans="1:38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285</v>
      </c>
      <c r="G149" s="23" t="s">
        <v>131</v>
      </c>
      <c r="H149" s="25">
        <v>0</v>
      </c>
      <c r="I149" s="1"/>
      <c r="J149" s="26"/>
      <c r="K149" s="27">
        <v>0</v>
      </c>
      <c r="L149" s="27"/>
      <c r="M149" s="27"/>
      <c r="N149" s="1">
        <v>1</v>
      </c>
      <c r="O149" s="27">
        <v>0</v>
      </c>
      <c r="P149" s="27"/>
      <c r="Q149" s="27"/>
      <c r="R149" s="20"/>
    </row>
    <row r="150" spans="1:38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349</v>
      </c>
      <c r="G150" s="23" t="s">
        <v>122</v>
      </c>
      <c r="H150" s="25">
        <v>22</v>
      </c>
      <c r="I150" s="1">
        <v>4</v>
      </c>
      <c r="J150" s="26">
        <v>4</v>
      </c>
      <c r="K150" s="27">
        <v>9287.9599999999991</v>
      </c>
      <c r="L150" s="27">
        <v>9287.9599999999991</v>
      </c>
      <c r="M150" s="27"/>
      <c r="N150" s="1">
        <v>6</v>
      </c>
      <c r="O150" s="27">
        <v>13416.69</v>
      </c>
      <c r="P150" s="27">
        <v>13416.69</v>
      </c>
      <c r="Q150" s="27"/>
      <c r="R150" s="20"/>
    </row>
    <row r="151" spans="1:38" ht="15" customHeight="1">
      <c r="A151" s="24">
        <v>76</v>
      </c>
      <c r="B151" s="23" t="s">
        <v>94</v>
      </c>
      <c r="C151" s="24" t="s">
        <v>18</v>
      </c>
      <c r="D151" s="23"/>
      <c r="E151" s="23" t="s">
        <v>95</v>
      </c>
      <c r="F151" s="23" t="s">
        <v>431</v>
      </c>
      <c r="G151" s="23" t="s">
        <v>142</v>
      </c>
      <c r="H151" s="25">
        <v>37</v>
      </c>
      <c r="I151" s="1">
        <v>23</v>
      </c>
      <c r="J151" s="26">
        <v>34</v>
      </c>
      <c r="K151" s="27">
        <v>4012.07</v>
      </c>
      <c r="L151" s="27">
        <v>4012.07</v>
      </c>
      <c r="M151" s="27"/>
      <c r="N151" s="1">
        <v>9</v>
      </c>
      <c r="O151" s="27">
        <v>13489.94</v>
      </c>
      <c r="P151" s="27">
        <v>13489.94</v>
      </c>
      <c r="Q151" s="27"/>
      <c r="R151" s="20"/>
    </row>
    <row r="152" spans="1:38" s="7" customFormat="1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319</v>
      </c>
      <c r="G152" s="23" t="s">
        <v>124</v>
      </c>
      <c r="H152" s="25">
        <v>13</v>
      </c>
      <c r="I152" s="1">
        <v>2</v>
      </c>
      <c r="J152" s="26">
        <v>2</v>
      </c>
      <c r="K152" s="27">
        <v>6519.4</v>
      </c>
      <c r="L152" s="27">
        <v>6519.4</v>
      </c>
      <c r="M152" s="27"/>
      <c r="N152" s="1">
        <v>2</v>
      </c>
      <c r="O152" s="27">
        <v>3942.68</v>
      </c>
      <c r="P152" s="27">
        <v>3942.68</v>
      </c>
      <c r="Q152" s="27"/>
      <c r="R152" s="20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 spans="1:38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123</v>
      </c>
      <c r="G153" s="23" t="s">
        <v>131</v>
      </c>
      <c r="H153" s="25">
        <v>0</v>
      </c>
      <c r="I153" s="2"/>
      <c r="J153" s="26"/>
      <c r="K153" s="27">
        <v>0</v>
      </c>
      <c r="L153" s="27"/>
      <c r="M153" s="27"/>
      <c r="N153" s="2"/>
      <c r="O153" s="27">
        <v>0</v>
      </c>
      <c r="P153" s="27"/>
      <c r="Q153" s="27"/>
      <c r="R153" s="20"/>
    </row>
    <row r="154" spans="1:38" ht="15" customHeight="1">
      <c r="A154" s="24">
        <v>77</v>
      </c>
      <c r="B154" s="23" t="s">
        <v>96</v>
      </c>
      <c r="C154" s="24" t="s">
        <v>18</v>
      </c>
      <c r="D154" s="23"/>
      <c r="E154" s="23" t="s">
        <v>19</v>
      </c>
      <c r="F154" s="23" t="s">
        <v>432</v>
      </c>
      <c r="G154" s="23" t="s">
        <v>142</v>
      </c>
      <c r="H154" s="25">
        <v>6</v>
      </c>
      <c r="I154" s="1">
        <v>2</v>
      </c>
      <c r="J154" s="26">
        <v>2</v>
      </c>
      <c r="K154" s="27">
        <v>0</v>
      </c>
      <c r="L154" s="27"/>
      <c r="M154" s="27"/>
      <c r="N154" s="1">
        <v>2</v>
      </c>
      <c r="O154" s="27">
        <v>4049.6000000000004</v>
      </c>
      <c r="P154" s="27">
        <v>4049.6000000000004</v>
      </c>
      <c r="Q154" s="27"/>
      <c r="R154" s="20"/>
    </row>
    <row r="155" spans="1:38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292</v>
      </c>
      <c r="G155" s="23" t="s">
        <v>131</v>
      </c>
      <c r="H155" s="25">
        <v>0</v>
      </c>
      <c r="I155" s="1"/>
      <c r="J155" s="26"/>
      <c r="K155" s="27">
        <v>0</v>
      </c>
      <c r="L155" s="27"/>
      <c r="M155" s="27"/>
      <c r="N155" s="1">
        <v>2</v>
      </c>
      <c r="O155" s="27">
        <v>6695.6</v>
      </c>
      <c r="P155" s="27">
        <v>6695.6</v>
      </c>
      <c r="Q155" s="27"/>
      <c r="R155" s="20"/>
    </row>
    <row r="156" spans="1:38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447</v>
      </c>
      <c r="G156" s="23" t="s">
        <v>122</v>
      </c>
      <c r="H156" s="25">
        <v>18</v>
      </c>
      <c r="I156" s="1">
        <v>6</v>
      </c>
      <c r="J156" s="26">
        <v>6</v>
      </c>
      <c r="K156" s="27">
        <v>5286</v>
      </c>
      <c r="L156" s="27">
        <v>5286</v>
      </c>
      <c r="M156" s="27"/>
      <c r="N156" s="1">
        <v>5</v>
      </c>
      <c r="O156" s="27">
        <v>12686.4</v>
      </c>
      <c r="P156" s="27">
        <v>12686.4</v>
      </c>
      <c r="Q156" s="27"/>
      <c r="R156" s="20"/>
    </row>
    <row r="157" spans="1:38" ht="15" customHeight="1">
      <c r="A157" s="24"/>
      <c r="B157" s="23" t="s">
        <v>96</v>
      </c>
      <c r="C157" s="24" t="s">
        <v>18</v>
      </c>
      <c r="D157" s="23"/>
      <c r="E157" s="22" t="s">
        <v>19</v>
      </c>
      <c r="F157" s="23" t="s">
        <v>367</v>
      </c>
      <c r="G157" s="22" t="s">
        <v>136</v>
      </c>
      <c r="H157" s="45">
        <v>7</v>
      </c>
      <c r="I157" s="1">
        <v>1</v>
      </c>
      <c r="J157" s="26">
        <v>1</v>
      </c>
      <c r="K157" s="27">
        <v>0</v>
      </c>
      <c r="L157" s="27"/>
      <c r="M157" s="27"/>
      <c r="N157" s="1">
        <v>2</v>
      </c>
      <c r="O157" s="27">
        <v>2466.8000000000002</v>
      </c>
      <c r="P157" s="27">
        <v>2466.8000000000002</v>
      </c>
      <c r="Q157" s="27"/>
      <c r="R157" s="20"/>
    </row>
    <row r="158" spans="1:38" ht="15" customHeight="1">
      <c r="A158" s="24">
        <v>78</v>
      </c>
      <c r="B158" s="23" t="s">
        <v>97</v>
      </c>
      <c r="C158" s="24" t="s">
        <v>18</v>
      </c>
      <c r="D158" s="23"/>
      <c r="E158" s="23" t="s">
        <v>19</v>
      </c>
      <c r="F158" s="23" t="s">
        <v>462</v>
      </c>
      <c r="G158" s="23" t="s">
        <v>142</v>
      </c>
      <c r="H158" s="25">
        <v>6</v>
      </c>
      <c r="I158" s="1"/>
      <c r="J158" s="26"/>
      <c r="K158" s="27">
        <v>0</v>
      </c>
      <c r="L158" s="27"/>
      <c r="M158" s="27"/>
      <c r="N158" s="1">
        <v>3</v>
      </c>
      <c r="O158" s="27">
        <v>0</v>
      </c>
      <c r="P158" s="27"/>
      <c r="Q158" s="27"/>
      <c r="R158" s="20"/>
    </row>
    <row r="159" spans="1:38" ht="15" customHeight="1">
      <c r="A159" s="24">
        <v>79</v>
      </c>
      <c r="B159" s="23" t="s">
        <v>98</v>
      </c>
      <c r="C159" s="24" t="s">
        <v>18</v>
      </c>
      <c r="D159" s="23"/>
      <c r="E159" s="23" t="s">
        <v>19</v>
      </c>
      <c r="F159" s="23" t="s">
        <v>433</v>
      </c>
      <c r="G159" s="23" t="s">
        <v>142</v>
      </c>
      <c r="H159" s="25">
        <v>18</v>
      </c>
      <c r="I159" s="1">
        <v>14</v>
      </c>
      <c r="J159" s="26">
        <v>15</v>
      </c>
      <c r="K159" s="27">
        <v>14455.97</v>
      </c>
      <c r="L159" s="27">
        <v>14455.97</v>
      </c>
      <c r="M159" s="27"/>
      <c r="N159" s="1">
        <v>8</v>
      </c>
      <c r="O159" s="27">
        <v>35129.230000000003</v>
      </c>
      <c r="P159" s="27">
        <v>35129.230000000003</v>
      </c>
      <c r="Q159" s="27"/>
      <c r="R159" s="20"/>
    </row>
    <row r="160" spans="1:38" ht="15" customHeight="1">
      <c r="A160" s="24">
        <v>80</v>
      </c>
      <c r="B160" s="23" t="s">
        <v>99</v>
      </c>
      <c r="C160" s="24" t="s">
        <v>18</v>
      </c>
      <c r="D160" s="23"/>
      <c r="E160" s="23" t="s">
        <v>19</v>
      </c>
      <c r="F160" s="23" t="s">
        <v>120</v>
      </c>
      <c r="G160" s="23" t="s">
        <v>142</v>
      </c>
      <c r="H160" s="25">
        <v>0</v>
      </c>
      <c r="I160" s="1"/>
      <c r="J160" s="26"/>
      <c r="K160" s="27">
        <v>0</v>
      </c>
      <c r="L160" s="27"/>
      <c r="M160" s="27"/>
      <c r="N160" s="1">
        <v>2</v>
      </c>
      <c r="O160" s="27">
        <v>0</v>
      </c>
      <c r="P160" s="27"/>
      <c r="Q160" s="27"/>
      <c r="R160" s="20"/>
    </row>
    <row r="161" spans="1:38" ht="24.6" customHeight="1">
      <c r="A161" s="29">
        <v>81</v>
      </c>
      <c r="B161" s="30" t="s">
        <v>100</v>
      </c>
      <c r="C161" s="29" t="s">
        <v>30</v>
      </c>
      <c r="D161" s="30" t="s">
        <v>101</v>
      </c>
      <c r="E161" s="30" t="s">
        <v>19</v>
      </c>
      <c r="F161" s="23" t="s">
        <v>434</v>
      </c>
      <c r="G161" s="30" t="s">
        <v>142</v>
      </c>
      <c r="H161" s="25">
        <v>12</v>
      </c>
      <c r="I161" s="1"/>
      <c r="J161" s="26"/>
      <c r="K161" s="27">
        <v>0</v>
      </c>
      <c r="L161" s="27"/>
      <c r="M161" s="27"/>
      <c r="N161" s="1"/>
      <c r="O161" s="27">
        <v>0</v>
      </c>
      <c r="P161" s="27"/>
      <c r="Q161" s="27"/>
      <c r="R161" s="20"/>
    </row>
    <row r="162" spans="1:38" s="7" customFormat="1" ht="29.25" customHeight="1">
      <c r="A162" s="29"/>
      <c r="B162" s="30" t="s">
        <v>100</v>
      </c>
      <c r="C162" s="29" t="s">
        <v>30</v>
      </c>
      <c r="D162" s="30" t="s">
        <v>101</v>
      </c>
      <c r="E162" s="30" t="s">
        <v>19</v>
      </c>
      <c r="F162" s="30" t="s">
        <v>292</v>
      </c>
      <c r="G162" s="30" t="s">
        <v>122</v>
      </c>
      <c r="H162" s="25">
        <v>0</v>
      </c>
      <c r="I162" s="1"/>
      <c r="J162" s="26"/>
      <c r="K162" s="27">
        <v>0</v>
      </c>
      <c r="L162" s="27"/>
      <c r="M162" s="27"/>
      <c r="N162" s="1"/>
      <c r="O162" s="27">
        <v>0</v>
      </c>
      <c r="P162" s="27"/>
      <c r="Q162" s="27"/>
      <c r="R162" s="20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</row>
    <row r="163" spans="1:38" ht="26.25" customHeight="1">
      <c r="A163" s="46">
        <v>82</v>
      </c>
      <c r="B163" s="60" t="s">
        <v>144</v>
      </c>
      <c r="C163" s="46" t="s">
        <v>18</v>
      </c>
      <c r="D163" s="60"/>
      <c r="E163" s="60" t="s">
        <v>104</v>
      </c>
      <c r="F163" s="60" t="s">
        <v>120</v>
      </c>
      <c r="G163" s="60" t="s">
        <v>142</v>
      </c>
      <c r="H163" s="61">
        <v>0</v>
      </c>
      <c r="I163" s="1"/>
      <c r="J163" s="26"/>
      <c r="K163" s="27">
        <v>0</v>
      </c>
      <c r="L163" s="63"/>
      <c r="M163" s="63"/>
      <c r="N163" s="1"/>
      <c r="O163" s="63">
        <v>0</v>
      </c>
      <c r="P163" s="63"/>
      <c r="Q163" s="63"/>
      <c r="R163" s="20"/>
    </row>
    <row r="164" spans="1:38" ht="15.75" customHeight="1">
      <c r="A164" s="24">
        <v>83</v>
      </c>
      <c r="B164" s="23" t="s">
        <v>102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v>0</v>
      </c>
      <c r="L164" s="27"/>
      <c r="M164" s="27"/>
      <c r="N164" s="1"/>
      <c r="O164" s="27">
        <v>0</v>
      </c>
      <c r="P164" s="27"/>
      <c r="Q164" s="27"/>
      <c r="R164" s="20"/>
    </row>
    <row r="165" spans="1:38" ht="15" customHeight="1">
      <c r="A165" s="24">
        <v>84</v>
      </c>
      <c r="B165" s="23" t="s">
        <v>103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v>0</v>
      </c>
      <c r="L165" s="27"/>
      <c r="M165" s="27"/>
      <c r="N165" s="1">
        <v>1</v>
      </c>
      <c r="O165" s="27">
        <v>12670.26</v>
      </c>
      <c r="P165" s="27">
        <v>12670.26</v>
      </c>
      <c r="Q165" s="27"/>
      <c r="R165" s="20"/>
    </row>
    <row r="166" spans="1:38" ht="15" customHeight="1">
      <c r="A166" s="24"/>
      <c r="B166" s="23" t="s">
        <v>103</v>
      </c>
      <c r="C166" s="24" t="s">
        <v>18</v>
      </c>
      <c r="D166" s="23"/>
      <c r="E166" s="23" t="s">
        <v>19</v>
      </c>
      <c r="F166" s="23" t="s">
        <v>456</v>
      </c>
      <c r="G166" s="23" t="s">
        <v>122</v>
      </c>
      <c r="H166" s="25">
        <v>9</v>
      </c>
      <c r="I166" s="1"/>
      <c r="J166" s="26"/>
      <c r="K166" s="27">
        <v>0</v>
      </c>
      <c r="L166" s="27"/>
      <c r="M166" s="27"/>
      <c r="N166" s="1"/>
      <c r="O166" s="27">
        <v>2731.1</v>
      </c>
      <c r="P166" s="27">
        <v>2731.1</v>
      </c>
      <c r="Q166" s="27"/>
      <c r="R166" s="20"/>
    </row>
    <row r="167" spans="1:38" ht="15" customHeight="1">
      <c r="A167" s="41">
        <v>85</v>
      </c>
      <c r="B167" s="37" t="s">
        <v>302</v>
      </c>
      <c r="C167" s="41" t="s">
        <v>18</v>
      </c>
      <c r="D167" s="37"/>
      <c r="E167" s="37" t="s">
        <v>104</v>
      </c>
      <c r="F167" s="37" t="s">
        <v>461</v>
      </c>
      <c r="G167" s="37" t="s">
        <v>142</v>
      </c>
      <c r="H167" s="42">
        <v>16</v>
      </c>
      <c r="I167" s="40">
        <v>3</v>
      </c>
      <c r="J167" s="43">
        <v>3</v>
      </c>
      <c r="K167" s="39">
        <v>0</v>
      </c>
      <c r="L167" s="39"/>
      <c r="M167" s="39"/>
      <c r="N167" s="40"/>
      <c r="O167" s="39"/>
      <c r="P167" s="39"/>
      <c r="Q167" s="39"/>
      <c r="R167" s="20"/>
    </row>
    <row r="168" spans="1:38" ht="15" customHeight="1">
      <c r="A168" s="24"/>
      <c r="B168" s="23" t="s">
        <v>302</v>
      </c>
      <c r="C168" s="24" t="s">
        <v>18</v>
      </c>
      <c r="D168" s="23"/>
      <c r="E168" s="23" t="s">
        <v>19</v>
      </c>
      <c r="F168" s="23" t="s">
        <v>348</v>
      </c>
      <c r="G168" s="23" t="s">
        <v>122</v>
      </c>
      <c r="H168" s="25">
        <v>19</v>
      </c>
      <c r="I168" s="1">
        <v>3</v>
      </c>
      <c r="J168" s="26">
        <v>3</v>
      </c>
      <c r="K168" s="27">
        <v>0</v>
      </c>
      <c r="L168" s="27"/>
      <c r="M168" s="27"/>
      <c r="N168" s="1"/>
      <c r="O168" s="27">
        <v>0</v>
      </c>
      <c r="P168" s="27"/>
      <c r="Q168" s="27"/>
      <c r="R168" s="20"/>
    </row>
    <row r="169" spans="1:38" ht="15" customHeight="1">
      <c r="A169" s="24">
        <v>86</v>
      </c>
      <c r="B169" s="23" t="s">
        <v>328</v>
      </c>
      <c r="C169" s="24" t="s">
        <v>18</v>
      </c>
      <c r="D169" s="23"/>
      <c r="E169" s="23" t="s">
        <v>19</v>
      </c>
      <c r="F169" s="23" t="s">
        <v>347</v>
      </c>
      <c r="G169" s="23" t="s">
        <v>122</v>
      </c>
      <c r="H169" s="25">
        <v>12</v>
      </c>
      <c r="I169" s="1">
        <v>1</v>
      </c>
      <c r="J169" s="26">
        <v>1</v>
      </c>
      <c r="K169" s="27">
        <v>0</v>
      </c>
      <c r="L169" s="27"/>
      <c r="M169" s="27"/>
      <c r="N169" s="1"/>
      <c r="O169" s="27">
        <v>0</v>
      </c>
      <c r="P169" s="27"/>
      <c r="Q169" s="27"/>
      <c r="R169" s="20"/>
    </row>
    <row r="170" spans="1:38" ht="15" customHeight="1">
      <c r="A170" s="24">
        <v>87</v>
      </c>
      <c r="B170" s="23" t="s">
        <v>314</v>
      </c>
      <c r="C170" s="24" t="s">
        <v>18</v>
      </c>
      <c r="D170" s="23"/>
      <c r="E170" s="23" t="s">
        <v>460</v>
      </c>
      <c r="F170" s="23" t="s">
        <v>435</v>
      </c>
      <c r="G170" s="23" t="s">
        <v>142</v>
      </c>
      <c r="H170" s="25">
        <v>4</v>
      </c>
      <c r="I170" s="1"/>
      <c r="J170" s="26"/>
      <c r="K170" s="27">
        <v>0</v>
      </c>
      <c r="L170" s="27"/>
      <c r="M170" s="27"/>
      <c r="N170" s="1"/>
      <c r="O170" s="27">
        <v>0</v>
      </c>
      <c r="P170" s="27"/>
      <c r="Q170" s="27"/>
      <c r="R170" s="20"/>
    </row>
    <row r="171" spans="1:38" ht="15" customHeight="1">
      <c r="A171" s="41"/>
      <c r="B171" s="37" t="s">
        <v>314</v>
      </c>
      <c r="C171" s="41" t="s">
        <v>18</v>
      </c>
      <c r="D171" s="37"/>
      <c r="E171" s="37" t="s">
        <v>460</v>
      </c>
      <c r="F171" s="37" t="s">
        <v>474</v>
      </c>
      <c r="G171" s="37" t="s">
        <v>131</v>
      </c>
      <c r="H171" s="42">
        <v>2</v>
      </c>
      <c r="I171" s="40"/>
      <c r="J171" s="43"/>
      <c r="K171" s="27">
        <v>0</v>
      </c>
      <c r="L171" s="39"/>
      <c r="M171" s="39"/>
      <c r="N171" s="40"/>
      <c r="O171" s="27">
        <v>0</v>
      </c>
      <c r="P171" s="39"/>
      <c r="Q171" s="39"/>
      <c r="R171" s="20"/>
    </row>
    <row r="172" spans="1:38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465</v>
      </c>
      <c r="G172" s="23" t="s">
        <v>136</v>
      </c>
      <c r="H172" s="25">
        <v>24</v>
      </c>
      <c r="I172" s="1"/>
      <c r="J172" s="26"/>
      <c r="K172" s="27">
        <v>0</v>
      </c>
      <c r="L172" s="27"/>
      <c r="M172" s="27"/>
      <c r="N172" s="1"/>
      <c r="O172" s="27">
        <v>0</v>
      </c>
      <c r="P172" s="27"/>
      <c r="Q172" s="27"/>
      <c r="R172" s="20"/>
    </row>
    <row r="173" spans="1:38" ht="15" customHeight="1">
      <c r="A173" s="24">
        <v>88</v>
      </c>
      <c r="B173" s="23" t="s">
        <v>330</v>
      </c>
      <c r="C173" s="24" t="s">
        <v>18</v>
      </c>
      <c r="D173" s="23"/>
      <c r="E173" s="23" t="s">
        <v>104</v>
      </c>
      <c r="F173" s="23" t="s">
        <v>341</v>
      </c>
      <c r="G173" s="23" t="s">
        <v>131</v>
      </c>
      <c r="H173" s="25">
        <v>11</v>
      </c>
      <c r="I173" s="1">
        <v>6</v>
      </c>
      <c r="J173" s="26">
        <v>6</v>
      </c>
      <c r="K173" s="27">
        <v>0</v>
      </c>
      <c r="L173" s="27"/>
      <c r="M173" s="27"/>
      <c r="N173" s="1"/>
      <c r="O173" s="27">
        <v>0</v>
      </c>
      <c r="P173" s="27"/>
      <c r="Q173" s="27"/>
      <c r="R173" s="20"/>
    </row>
    <row r="174" spans="1:38" s="28" customFormat="1" ht="15" customHeight="1">
      <c r="A174" s="24"/>
      <c r="B174" s="23" t="s">
        <v>330</v>
      </c>
      <c r="C174" s="24" t="s">
        <v>18</v>
      </c>
      <c r="D174" s="23"/>
      <c r="E174" s="23" t="s">
        <v>19</v>
      </c>
      <c r="F174" s="23" t="s">
        <v>346</v>
      </c>
      <c r="G174" s="23" t="s">
        <v>122</v>
      </c>
      <c r="H174" s="25">
        <v>11</v>
      </c>
      <c r="I174" s="1">
        <v>3</v>
      </c>
      <c r="J174" s="26">
        <v>3</v>
      </c>
      <c r="K174" s="27">
        <v>0</v>
      </c>
      <c r="L174" s="27"/>
      <c r="M174" s="27"/>
      <c r="N174" s="1"/>
      <c r="O174" s="27">
        <v>0</v>
      </c>
      <c r="P174" s="27"/>
      <c r="Q174" s="27"/>
      <c r="R174" s="31"/>
    </row>
    <row r="175" spans="1:38" ht="24.75" customHeight="1">
      <c r="A175" s="29">
        <v>89</v>
      </c>
      <c r="B175" s="30" t="s">
        <v>105</v>
      </c>
      <c r="C175" s="29" t="s">
        <v>30</v>
      </c>
      <c r="D175" s="30" t="s">
        <v>106</v>
      </c>
      <c r="E175" s="30" t="s">
        <v>19</v>
      </c>
      <c r="F175" s="30" t="s">
        <v>436</v>
      </c>
      <c r="G175" s="30" t="s">
        <v>142</v>
      </c>
      <c r="H175" s="25">
        <v>15</v>
      </c>
      <c r="I175" s="1"/>
      <c r="J175" s="26"/>
      <c r="K175" s="27">
        <v>0</v>
      </c>
      <c r="L175" s="27"/>
      <c r="M175" s="27"/>
      <c r="N175" s="1"/>
      <c r="O175" s="27">
        <v>23296.730000000003</v>
      </c>
      <c r="P175" s="27">
        <v>23296.730000000003</v>
      </c>
      <c r="Q175" s="27"/>
      <c r="R175" s="20"/>
    </row>
    <row r="176" spans="1:38" ht="24.75" customHeight="1">
      <c r="A176" s="29">
        <v>90</v>
      </c>
      <c r="B176" s="30" t="s">
        <v>315</v>
      </c>
      <c r="C176" s="29" t="s">
        <v>18</v>
      </c>
      <c r="D176" s="30"/>
      <c r="E176" s="30" t="s">
        <v>19</v>
      </c>
      <c r="F176" s="30" t="s">
        <v>437</v>
      </c>
      <c r="G176" s="30" t="s">
        <v>142</v>
      </c>
      <c r="H176" s="25">
        <v>11</v>
      </c>
      <c r="I176" s="1">
        <v>7</v>
      </c>
      <c r="J176" s="26">
        <v>8</v>
      </c>
      <c r="K176" s="27">
        <v>0</v>
      </c>
      <c r="L176" s="27"/>
      <c r="M176" s="27"/>
      <c r="N176" s="1"/>
      <c r="O176" s="27">
        <v>0</v>
      </c>
      <c r="P176" s="27"/>
      <c r="Q176" s="27"/>
      <c r="R176" s="20"/>
    </row>
    <row r="177" spans="1:38" s="28" customFormat="1" ht="24.75" customHeight="1">
      <c r="A177" s="29"/>
      <c r="B177" s="30" t="s">
        <v>315</v>
      </c>
      <c r="C177" s="29" t="s">
        <v>18</v>
      </c>
      <c r="D177" s="30"/>
      <c r="E177" s="30" t="s">
        <v>322</v>
      </c>
      <c r="F177" s="30" t="s">
        <v>323</v>
      </c>
      <c r="G177" s="30" t="s">
        <v>124</v>
      </c>
      <c r="H177" s="25">
        <v>7</v>
      </c>
      <c r="I177" s="1"/>
      <c r="J177" s="26"/>
      <c r="K177" s="27">
        <v>0</v>
      </c>
      <c r="L177" s="27"/>
      <c r="M177" s="27"/>
      <c r="N177" s="1"/>
      <c r="O177" s="27">
        <v>0</v>
      </c>
      <c r="P177" s="27"/>
      <c r="Q177" s="27"/>
      <c r="R177" s="31"/>
    </row>
    <row r="178" spans="1:38" s="7" customFormat="1" ht="38.450000000000003" customHeight="1">
      <c r="A178" s="29">
        <v>91</v>
      </c>
      <c r="B178" s="30" t="s">
        <v>265</v>
      </c>
      <c r="C178" s="29" t="s">
        <v>18</v>
      </c>
      <c r="D178" s="30"/>
      <c r="E178" s="30" t="s">
        <v>19</v>
      </c>
      <c r="F178" s="30" t="s">
        <v>123</v>
      </c>
      <c r="G178" s="30" t="s">
        <v>142</v>
      </c>
      <c r="H178" s="25">
        <v>0</v>
      </c>
      <c r="I178" s="1"/>
      <c r="J178" s="26"/>
      <c r="K178" s="27">
        <v>0</v>
      </c>
      <c r="L178" s="27"/>
      <c r="M178" s="27"/>
      <c r="N178" s="1"/>
      <c r="O178" s="27">
        <v>0</v>
      </c>
      <c r="P178" s="27"/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s="7" customFormat="1" ht="38.450000000000003" customHeight="1">
      <c r="A179" s="24">
        <v>92</v>
      </c>
      <c r="B179" s="23" t="s">
        <v>107</v>
      </c>
      <c r="C179" s="24" t="s">
        <v>18</v>
      </c>
      <c r="D179" s="23"/>
      <c r="E179" s="23" t="s">
        <v>41</v>
      </c>
      <c r="F179" s="30" t="s">
        <v>438</v>
      </c>
      <c r="G179" s="23" t="s">
        <v>142</v>
      </c>
      <c r="H179" s="25">
        <v>2</v>
      </c>
      <c r="I179" s="1">
        <v>1</v>
      </c>
      <c r="J179" s="26">
        <v>1</v>
      </c>
      <c r="K179" s="27">
        <v>0</v>
      </c>
      <c r="L179" s="27"/>
      <c r="M179" s="27"/>
      <c r="N179" s="1">
        <v>6</v>
      </c>
      <c r="O179" s="27">
        <v>1221.57</v>
      </c>
      <c r="P179" s="27">
        <v>1221.57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15.75" customHeight="1">
      <c r="A180" s="24"/>
      <c r="B180" s="23" t="s">
        <v>107</v>
      </c>
      <c r="C180" s="24" t="s">
        <v>18</v>
      </c>
      <c r="D180" s="23"/>
      <c r="E180" s="23" t="s">
        <v>41</v>
      </c>
      <c r="F180" s="23" t="s">
        <v>464</v>
      </c>
      <c r="G180" s="23" t="s">
        <v>136</v>
      </c>
      <c r="H180" s="25">
        <v>13</v>
      </c>
      <c r="I180" s="2">
        <v>7</v>
      </c>
      <c r="J180" s="26">
        <v>7</v>
      </c>
      <c r="K180" s="27">
        <v>0</v>
      </c>
      <c r="L180" s="27"/>
      <c r="M180" s="27"/>
      <c r="N180" s="2">
        <v>19</v>
      </c>
      <c r="O180" s="27">
        <v>36015.279999999999</v>
      </c>
      <c r="P180" s="27">
        <v>36015.279999999999</v>
      </c>
      <c r="Q180" s="27"/>
      <c r="R180" s="20"/>
    </row>
    <row r="181" spans="1:38" ht="16.5" customHeight="1">
      <c r="A181" s="24">
        <v>93</v>
      </c>
      <c r="B181" s="23" t="s">
        <v>108</v>
      </c>
      <c r="C181" s="24" t="s">
        <v>18</v>
      </c>
      <c r="D181" s="23"/>
      <c r="E181" s="23" t="s">
        <v>19</v>
      </c>
      <c r="F181" s="23" t="s">
        <v>439</v>
      </c>
      <c r="G181" s="23" t="s">
        <v>142</v>
      </c>
      <c r="H181" s="25">
        <v>43</v>
      </c>
      <c r="I181" s="1">
        <v>34</v>
      </c>
      <c r="J181" s="26">
        <v>34</v>
      </c>
      <c r="K181" s="27">
        <v>13481.74</v>
      </c>
      <c r="L181" s="27">
        <v>13481.74</v>
      </c>
      <c r="M181" s="27"/>
      <c r="N181" s="1">
        <v>7</v>
      </c>
      <c r="O181" s="27">
        <v>102505.09</v>
      </c>
      <c r="P181" s="27">
        <v>102505.09</v>
      </c>
      <c r="Q181" s="27"/>
      <c r="R181" s="20"/>
    </row>
    <row r="182" spans="1:38" s="7" customFormat="1" ht="16.5" customHeight="1">
      <c r="A182" s="24"/>
      <c r="B182" s="23" t="s">
        <v>108</v>
      </c>
      <c r="C182" s="24" t="s">
        <v>18</v>
      </c>
      <c r="D182" s="23"/>
      <c r="E182" s="23" t="s">
        <v>19</v>
      </c>
      <c r="F182" s="23" t="s">
        <v>345</v>
      </c>
      <c r="G182" s="23" t="s">
        <v>122</v>
      </c>
      <c r="H182" s="25">
        <v>13</v>
      </c>
      <c r="I182" s="1">
        <v>3</v>
      </c>
      <c r="J182" s="26">
        <v>3</v>
      </c>
      <c r="K182" s="27">
        <v>0</v>
      </c>
      <c r="L182" s="27"/>
      <c r="M182" s="27"/>
      <c r="N182" s="1">
        <v>7</v>
      </c>
      <c r="O182" s="27">
        <v>6290.34</v>
      </c>
      <c r="P182" s="27">
        <v>6290.34</v>
      </c>
      <c r="Q182" s="27"/>
      <c r="R182" s="20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</row>
    <row r="183" spans="1:38" s="7" customFormat="1" ht="16.5" customHeight="1">
      <c r="A183" s="24">
        <v>94</v>
      </c>
      <c r="B183" s="23" t="s">
        <v>146</v>
      </c>
      <c r="C183" s="24" t="s">
        <v>18</v>
      </c>
      <c r="D183" s="23"/>
      <c r="E183" s="23" t="s">
        <v>104</v>
      </c>
      <c r="F183" s="23" t="s">
        <v>475</v>
      </c>
      <c r="G183" s="23" t="s">
        <v>142</v>
      </c>
      <c r="H183" s="25">
        <v>21</v>
      </c>
      <c r="I183" s="1">
        <v>15</v>
      </c>
      <c r="J183" s="26">
        <v>15</v>
      </c>
      <c r="K183" s="27">
        <v>0</v>
      </c>
      <c r="L183" s="27"/>
      <c r="M183" s="27"/>
      <c r="N183" s="1">
        <v>4</v>
      </c>
      <c r="O183" s="27">
        <v>14026.97</v>
      </c>
      <c r="P183" s="27">
        <v>14026.97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3.45" customHeight="1">
      <c r="A184" s="29">
        <v>95</v>
      </c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440</v>
      </c>
      <c r="G184" s="30" t="s">
        <v>142</v>
      </c>
      <c r="H184" s="25">
        <v>51</v>
      </c>
      <c r="I184" s="1">
        <v>45</v>
      </c>
      <c r="J184" s="26">
        <v>45</v>
      </c>
      <c r="K184" s="27">
        <v>11917.66</v>
      </c>
      <c r="L184" s="27">
        <v>11917.66</v>
      </c>
      <c r="M184" s="27"/>
      <c r="N184" s="1">
        <v>18</v>
      </c>
      <c r="O184" s="27">
        <v>73939.81</v>
      </c>
      <c r="P184" s="27">
        <v>73939.81</v>
      </c>
      <c r="Q184" s="27"/>
      <c r="R184" s="20"/>
    </row>
    <row r="185" spans="1:38" s="7" customFormat="1" ht="27" customHeight="1">
      <c r="A185" s="29"/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344</v>
      </c>
      <c r="G185" s="30" t="s">
        <v>122</v>
      </c>
      <c r="H185" s="25">
        <v>28</v>
      </c>
      <c r="I185" s="1">
        <v>7</v>
      </c>
      <c r="J185" s="44">
        <v>7</v>
      </c>
      <c r="K185" s="27">
        <v>0</v>
      </c>
      <c r="L185" s="27"/>
      <c r="M185" s="27"/>
      <c r="N185" s="1">
        <v>16</v>
      </c>
      <c r="O185" s="27">
        <v>30487.919999999998</v>
      </c>
      <c r="P185" s="27">
        <v>30487.919999999998</v>
      </c>
      <c r="Q185" s="27"/>
      <c r="R185" s="20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</row>
    <row r="186" spans="1:38" ht="27.75" customHeight="1">
      <c r="A186" s="24">
        <v>96</v>
      </c>
      <c r="B186" s="23" t="s">
        <v>111</v>
      </c>
      <c r="C186" s="24" t="s">
        <v>18</v>
      </c>
      <c r="D186" s="23"/>
      <c r="E186" s="23" t="s">
        <v>112</v>
      </c>
      <c r="F186" s="23" t="s">
        <v>441</v>
      </c>
      <c r="G186" s="23" t="s">
        <v>142</v>
      </c>
      <c r="H186" s="25">
        <v>8</v>
      </c>
      <c r="I186" s="1">
        <v>6</v>
      </c>
      <c r="J186" s="26">
        <v>6</v>
      </c>
      <c r="K186" s="27">
        <v>0</v>
      </c>
      <c r="L186" s="27"/>
      <c r="M186" s="27"/>
      <c r="N186" s="1">
        <v>9</v>
      </c>
      <c r="O186" s="27">
        <v>27541.74</v>
      </c>
      <c r="P186" s="27">
        <v>27541.74</v>
      </c>
      <c r="Q186" s="27"/>
      <c r="R186" s="20"/>
    </row>
    <row r="187" spans="1:38" ht="16.5" customHeight="1">
      <c r="A187" s="24"/>
      <c r="B187" s="23" t="s">
        <v>111</v>
      </c>
      <c r="C187" s="24" t="s">
        <v>18</v>
      </c>
      <c r="D187" s="23"/>
      <c r="E187" s="23" t="s">
        <v>112</v>
      </c>
      <c r="F187" s="23" t="s">
        <v>466</v>
      </c>
      <c r="G187" s="23" t="s">
        <v>136</v>
      </c>
      <c r="H187" s="25">
        <v>10</v>
      </c>
      <c r="I187" s="2"/>
      <c r="J187" s="26"/>
      <c r="K187" s="27">
        <v>0</v>
      </c>
      <c r="L187" s="27"/>
      <c r="M187" s="27"/>
      <c r="N187" s="2">
        <v>3</v>
      </c>
      <c r="O187" s="27">
        <v>0</v>
      </c>
      <c r="P187" s="27"/>
      <c r="Q187" s="27"/>
      <c r="R187" s="20"/>
    </row>
    <row r="188" spans="1:38" ht="16.5" customHeight="1">
      <c r="A188" s="41">
        <v>97</v>
      </c>
      <c r="B188" s="37" t="s">
        <v>482</v>
      </c>
      <c r="C188" s="41" t="s">
        <v>18</v>
      </c>
      <c r="D188" s="37"/>
      <c r="E188" s="37" t="s">
        <v>104</v>
      </c>
      <c r="F188" s="37" t="s">
        <v>483</v>
      </c>
      <c r="G188" s="37" t="s">
        <v>122</v>
      </c>
      <c r="H188" s="42">
        <v>5</v>
      </c>
      <c r="I188" s="38"/>
      <c r="J188" s="43"/>
      <c r="K188" s="27">
        <v>0</v>
      </c>
      <c r="L188" s="39"/>
      <c r="M188" s="39"/>
      <c r="N188" s="38"/>
      <c r="O188" s="27">
        <v>0</v>
      </c>
      <c r="P188" s="39"/>
      <c r="Q188" s="39"/>
      <c r="R188" s="20"/>
    </row>
    <row r="189" spans="1:38" ht="16.5" customHeight="1">
      <c r="A189" s="24">
        <v>98</v>
      </c>
      <c r="B189" s="23" t="s">
        <v>113</v>
      </c>
      <c r="C189" s="24" t="s">
        <v>18</v>
      </c>
      <c r="D189" s="23"/>
      <c r="E189" s="23" t="s">
        <v>19</v>
      </c>
      <c r="F189" s="23" t="s">
        <v>120</v>
      </c>
      <c r="G189" s="23" t="s">
        <v>142</v>
      </c>
      <c r="H189" s="25">
        <v>0</v>
      </c>
      <c r="I189" s="1"/>
      <c r="J189" s="26"/>
      <c r="K189" s="27">
        <v>0</v>
      </c>
      <c r="L189" s="27"/>
      <c r="M189" s="27"/>
      <c r="N189" s="1">
        <v>3</v>
      </c>
      <c r="O189" s="27">
        <v>660.75</v>
      </c>
      <c r="P189" s="27">
        <v>660.75</v>
      </c>
      <c r="Q189" s="27"/>
      <c r="R189" s="20"/>
    </row>
    <row r="190" spans="1:38" ht="18.75" customHeight="1">
      <c r="A190" s="24"/>
      <c r="B190" s="23" t="s">
        <v>113</v>
      </c>
      <c r="C190" s="24" t="s">
        <v>18</v>
      </c>
      <c r="D190" s="23"/>
      <c r="E190" s="23" t="s">
        <v>19</v>
      </c>
      <c r="F190" s="23" t="s">
        <v>469</v>
      </c>
      <c r="G190" s="23" t="s">
        <v>122</v>
      </c>
      <c r="H190" s="25">
        <v>27</v>
      </c>
      <c r="I190" s="1">
        <v>3</v>
      </c>
      <c r="J190" s="26">
        <v>3</v>
      </c>
      <c r="K190" s="27">
        <v>21623.34</v>
      </c>
      <c r="L190" s="27">
        <v>21623.34</v>
      </c>
      <c r="M190" s="27"/>
      <c r="N190" s="1">
        <v>17</v>
      </c>
      <c r="O190" s="27">
        <v>87493.26</v>
      </c>
      <c r="P190" s="27">
        <v>87493.26</v>
      </c>
      <c r="Q190" s="27"/>
      <c r="R190" s="20"/>
    </row>
    <row r="191" spans="1:38" ht="20.25" customHeight="1">
      <c r="A191" s="24">
        <v>99</v>
      </c>
      <c r="B191" s="23" t="s">
        <v>114</v>
      </c>
      <c r="C191" s="24" t="s">
        <v>18</v>
      </c>
      <c r="D191" s="23"/>
      <c r="E191" s="23" t="s">
        <v>41</v>
      </c>
      <c r="F191" s="23" t="s">
        <v>443</v>
      </c>
      <c r="G191" s="23" t="s">
        <v>142</v>
      </c>
      <c r="H191" s="25">
        <v>9</v>
      </c>
      <c r="I191" s="1">
        <v>5</v>
      </c>
      <c r="J191" s="26">
        <v>6</v>
      </c>
      <c r="K191" s="27">
        <v>0</v>
      </c>
      <c r="L191" s="27"/>
      <c r="M191" s="27"/>
      <c r="N191" s="1">
        <v>4</v>
      </c>
      <c r="O191" s="27">
        <v>12416.6</v>
      </c>
      <c r="P191" s="27">
        <v>12416.6</v>
      </c>
      <c r="Q191" s="27"/>
      <c r="R191" s="20"/>
    </row>
    <row r="192" spans="1:38" ht="16.899999999999999" customHeight="1">
      <c r="A192" s="24"/>
      <c r="B192" s="23" t="s">
        <v>141</v>
      </c>
      <c r="C192" s="24" t="s">
        <v>18</v>
      </c>
      <c r="D192" s="23"/>
      <c r="E192" s="23" t="s">
        <v>41</v>
      </c>
      <c r="F192" s="23" t="s">
        <v>368</v>
      </c>
      <c r="G192" s="23" t="s">
        <v>136</v>
      </c>
      <c r="H192" s="25">
        <v>12</v>
      </c>
      <c r="I192" s="2">
        <v>3</v>
      </c>
      <c r="J192" s="26">
        <v>3</v>
      </c>
      <c r="K192" s="27">
        <v>0</v>
      </c>
      <c r="L192" s="27"/>
      <c r="M192" s="27"/>
      <c r="N192" s="2">
        <v>6</v>
      </c>
      <c r="O192" s="27">
        <v>31187.4</v>
      </c>
      <c r="P192" s="27">
        <v>31187.4</v>
      </c>
      <c r="Q192" s="27"/>
      <c r="R192" s="20"/>
    </row>
    <row r="193" spans="1:44" ht="16.899999999999999" customHeight="1">
      <c r="A193" s="24">
        <v>100</v>
      </c>
      <c r="B193" s="23" t="s">
        <v>309</v>
      </c>
      <c r="C193" s="24" t="s">
        <v>18</v>
      </c>
      <c r="D193" s="23"/>
      <c r="E193" s="23" t="s">
        <v>19</v>
      </c>
      <c r="F193" s="23" t="s">
        <v>442</v>
      </c>
      <c r="G193" s="23" t="s">
        <v>142</v>
      </c>
      <c r="H193" s="25">
        <v>26</v>
      </c>
      <c r="I193" s="2">
        <v>23</v>
      </c>
      <c r="J193" s="26">
        <v>24</v>
      </c>
      <c r="K193" s="27">
        <v>7701.71</v>
      </c>
      <c r="L193" s="27">
        <v>7701.71</v>
      </c>
      <c r="M193" s="27"/>
      <c r="N193" s="2"/>
      <c r="O193" s="27"/>
      <c r="P193" s="27"/>
      <c r="Q193" s="27"/>
      <c r="R193" s="20"/>
    </row>
    <row r="194" spans="1:44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343</v>
      </c>
      <c r="G194" s="23" t="s">
        <v>122</v>
      </c>
      <c r="H194" s="25">
        <v>8</v>
      </c>
      <c r="I194" s="2">
        <v>2</v>
      </c>
      <c r="J194" s="26">
        <v>2</v>
      </c>
      <c r="K194" s="27">
        <v>1233.4000000000001</v>
      </c>
      <c r="L194" s="27">
        <v>1233.4000000000001</v>
      </c>
      <c r="M194" s="27"/>
      <c r="N194" s="2"/>
      <c r="O194" s="27">
        <v>0</v>
      </c>
      <c r="P194" s="27"/>
      <c r="Q194" s="27"/>
      <c r="R194" s="20"/>
    </row>
    <row r="195" spans="1:44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324</v>
      </c>
      <c r="G195" s="23" t="s">
        <v>124</v>
      </c>
      <c r="H195" s="25">
        <v>0</v>
      </c>
      <c r="I195" s="2"/>
      <c r="J195" s="26"/>
      <c r="K195" s="27">
        <v>0</v>
      </c>
      <c r="L195" s="27"/>
      <c r="M195" s="27"/>
      <c r="N195" s="2"/>
      <c r="O195" s="27">
        <v>0</v>
      </c>
      <c r="P195" s="27"/>
      <c r="Q195" s="27"/>
      <c r="R195" s="20"/>
    </row>
    <row r="196" spans="1:44" ht="24.6" customHeight="1">
      <c r="A196" s="29">
        <v>101</v>
      </c>
      <c r="B196" s="30" t="s">
        <v>115</v>
      </c>
      <c r="C196" s="29" t="s">
        <v>52</v>
      </c>
      <c r="D196" s="30" t="s">
        <v>110</v>
      </c>
      <c r="E196" s="30" t="s">
        <v>19</v>
      </c>
      <c r="F196" s="30"/>
      <c r="G196" s="30" t="s">
        <v>142</v>
      </c>
      <c r="H196" s="25">
        <v>0</v>
      </c>
      <c r="I196" s="1"/>
      <c r="J196" s="26"/>
      <c r="K196" s="27">
        <v>0</v>
      </c>
      <c r="L196" s="27"/>
      <c r="M196" s="27"/>
      <c r="N196" s="1">
        <v>1</v>
      </c>
      <c r="O196" s="27">
        <v>0</v>
      </c>
      <c r="P196" s="27"/>
      <c r="Q196" s="27"/>
      <c r="R196" s="20"/>
    </row>
    <row r="197" spans="1:44" ht="32.25" customHeight="1">
      <c r="A197" s="29"/>
      <c r="B197" s="30" t="s">
        <v>115</v>
      </c>
      <c r="C197" s="29" t="s">
        <v>52</v>
      </c>
      <c r="D197" s="30" t="s">
        <v>110</v>
      </c>
      <c r="E197" s="30" t="s">
        <v>19</v>
      </c>
      <c r="F197" s="30" t="s">
        <v>292</v>
      </c>
      <c r="G197" s="30" t="s">
        <v>122</v>
      </c>
      <c r="H197" s="25">
        <v>0</v>
      </c>
      <c r="I197" s="1"/>
      <c r="J197" s="44"/>
      <c r="K197" s="27">
        <v>0</v>
      </c>
      <c r="L197" s="27"/>
      <c r="M197" s="27"/>
      <c r="N197" s="1">
        <v>1</v>
      </c>
      <c r="O197" s="27">
        <v>0</v>
      </c>
      <c r="P197" s="27"/>
      <c r="Q197" s="27"/>
      <c r="R197" s="20"/>
    </row>
    <row r="198" spans="1:44" ht="34.9" customHeight="1">
      <c r="A198" s="29">
        <v>102</v>
      </c>
      <c r="B198" s="30" t="s">
        <v>116</v>
      </c>
      <c r="C198" s="29" t="s">
        <v>52</v>
      </c>
      <c r="D198" s="30" t="s">
        <v>117</v>
      </c>
      <c r="E198" s="30" t="s">
        <v>19</v>
      </c>
      <c r="F198" s="30" t="s">
        <v>444</v>
      </c>
      <c r="G198" s="30" t="s">
        <v>142</v>
      </c>
      <c r="H198" s="25">
        <v>41</v>
      </c>
      <c r="I198" s="1">
        <v>31</v>
      </c>
      <c r="J198" s="44">
        <v>32</v>
      </c>
      <c r="K198" s="27">
        <v>33986.29</v>
      </c>
      <c r="L198" s="27">
        <v>33986.29</v>
      </c>
      <c r="M198" s="27"/>
      <c r="N198" s="1">
        <v>5</v>
      </c>
      <c r="O198" s="27">
        <v>14077.71</v>
      </c>
      <c r="P198" s="27">
        <v>14077.71</v>
      </c>
      <c r="Q198" s="27"/>
      <c r="R198" s="20"/>
    </row>
    <row r="199" spans="1:44" ht="28.5" customHeight="1">
      <c r="A199" s="29">
        <v>103</v>
      </c>
      <c r="B199" s="30" t="s">
        <v>209</v>
      </c>
      <c r="C199" s="29" t="s">
        <v>18</v>
      </c>
      <c r="D199" s="30"/>
      <c r="E199" s="30" t="s">
        <v>19</v>
      </c>
      <c r="F199" s="30" t="s">
        <v>123</v>
      </c>
      <c r="G199" s="30" t="s">
        <v>142</v>
      </c>
      <c r="H199" s="25">
        <v>0</v>
      </c>
      <c r="I199" s="1"/>
      <c r="J199" s="44"/>
      <c r="K199" s="27">
        <v>0</v>
      </c>
      <c r="L199" s="27"/>
      <c r="M199" s="27"/>
      <c r="N199" s="1"/>
      <c r="O199" s="27">
        <v>0</v>
      </c>
      <c r="P199" s="27"/>
      <c r="Q199" s="27"/>
      <c r="R199" s="20"/>
    </row>
    <row r="200" spans="1:44" ht="19.5" customHeight="1">
      <c r="A200" s="29">
        <v>104</v>
      </c>
      <c r="B200" s="30" t="s">
        <v>118</v>
      </c>
      <c r="C200" s="29" t="s">
        <v>18</v>
      </c>
      <c r="D200" s="30"/>
      <c r="E200" s="30" t="s">
        <v>41</v>
      </c>
      <c r="F200" s="30" t="s">
        <v>445</v>
      </c>
      <c r="G200" s="30" t="s">
        <v>142</v>
      </c>
      <c r="H200" s="25">
        <v>26</v>
      </c>
      <c r="I200" s="1">
        <v>13</v>
      </c>
      <c r="J200" s="44">
        <v>14</v>
      </c>
      <c r="K200" s="27">
        <v>10009.780000000001</v>
      </c>
      <c r="L200" s="27">
        <v>10009.780000000001</v>
      </c>
      <c r="M200" s="27"/>
      <c r="N200" s="1">
        <v>25</v>
      </c>
      <c r="O200" s="27">
        <v>33365.57</v>
      </c>
      <c r="P200" s="27">
        <v>33365.57</v>
      </c>
      <c r="Q200" s="27"/>
      <c r="R200" s="20"/>
    </row>
    <row r="201" spans="1:44" s="7" customFormat="1" ht="30.6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298</v>
      </c>
      <c r="G201" s="23" t="s">
        <v>124</v>
      </c>
      <c r="H201" s="25">
        <v>0</v>
      </c>
      <c r="I201" s="1"/>
      <c r="J201" s="44"/>
      <c r="K201" s="27">
        <v>0</v>
      </c>
      <c r="L201" s="27"/>
      <c r="M201" s="27"/>
      <c r="N201" s="1">
        <v>1</v>
      </c>
      <c r="O201" s="27">
        <v>5462.2</v>
      </c>
      <c r="P201" s="27">
        <v>5462.2</v>
      </c>
      <c r="Q201" s="27"/>
      <c r="R201" s="20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</row>
    <row r="202" spans="1:44" s="14" customFormat="1" ht="27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123</v>
      </c>
      <c r="G202" s="23" t="s">
        <v>136</v>
      </c>
      <c r="H202" s="25">
        <v>0</v>
      </c>
      <c r="I202" s="2"/>
      <c r="J202" s="26"/>
      <c r="K202" s="27">
        <v>0</v>
      </c>
      <c r="L202" s="27"/>
      <c r="M202" s="27"/>
      <c r="N202" s="2"/>
      <c r="O202" s="27">
        <v>0</v>
      </c>
      <c r="P202" s="27"/>
      <c r="Q202" s="27"/>
      <c r="R202" s="20"/>
      <c r="AM202" s="4"/>
      <c r="AN202" s="4"/>
      <c r="AO202" s="4"/>
      <c r="AP202" s="4"/>
      <c r="AQ202" s="4"/>
      <c r="AR202" s="4"/>
    </row>
    <row r="203" spans="1:44" s="14" customFormat="1" ht="27" customHeight="1">
      <c r="A203" s="46">
        <v>105</v>
      </c>
      <c r="B203" s="60" t="s">
        <v>325</v>
      </c>
      <c r="C203" s="46" t="s">
        <v>18</v>
      </c>
      <c r="D203" s="60"/>
      <c r="E203" s="60" t="s">
        <v>36</v>
      </c>
      <c r="F203" s="60" t="s">
        <v>446</v>
      </c>
      <c r="G203" s="60" t="s">
        <v>142</v>
      </c>
      <c r="H203" s="61">
        <v>11</v>
      </c>
      <c r="I203" s="32">
        <v>5</v>
      </c>
      <c r="J203" s="86">
        <v>5</v>
      </c>
      <c r="K203" s="27">
        <v>0</v>
      </c>
      <c r="L203" s="63"/>
      <c r="M203" s="63"/>
      <c r="N203" s="32"/>
      <c r="O203" s="63">
        <v>0</v>
      </c>
      <c r="P203" s="63"/>
      <c r="Q203" s="63"/>
      <c r="R203" s="20"/>
      <c r="AM203" s="4"/>
      <c r="AN203" s="4"/>
      <c r="AO203" s="4"/>
      <c r="AP203" s="4"/>
      <c r="AQ203" s="4"/>
      <c r="AR203" s="4"/>
    </row>
    <row r="204" spans="1:44" s="14" customFormat="1" ht="27" customHeight="1">
      <c r="A204" s="46"/>
      <c r="B204" s="23" t="s">
        <v>325</v>
      </c>
      <c r="C204" s="24" t="s">
        <v>18</v>
      </c>
      <c r="D204" s="23"/>
      <c r="E204" s="23" t="s">
        <v>36</v>
      </c>
      <c r="F204" s="23" t="s">
        <v>369</v>
      </c>
      <c r="G204" s="23" t="s">
        <v>124</v>
      </c>
      <c r="H204" s="25">
        <v>3</v>
      </c>
      <c r="I204" s="2"/>
      <c r="J204" s="26"/>
      <c r="K204" s="27">
        <v>0</v>
      </c>
      <c r="L204" s="27"/>
      <c r="M204" s="27"/>
      <c r="N204" s="2"/>
      <c r="O204" s="27">
        <v>0</v>
      </c>
      <c r="P204" s="27"/>
      <c r="Q204" s="27"/>
      <c r="R204" s="20"/>
      <c r="AM204" s="4"/>
      <c r="AN204" s="4"/>
      <c r="AO204" s="4"/>
      <c r="AP204" s="4"/>
      <c r="AQ204" s="4"/>
      <c r="AR204" s="4"/>
    </row>
    <row r="205" spans="1:44" s="14" customFormat="1" ht="18.75" customHeight="1" thickBot="1">
      <c r="A205" s="47"/>
      <c r="B205" s="48" t="s">
        <v>325</v>
      </c>
      <c r="C205" s="49" t="s">
        <v>18</v>
      </c>
      <c r="D205" s="48"/>
      <c r="E205" s="48" t="s">
        <v>370</v>
      </c>
      <c r="F205" s="48" t="s">
        <v>371</v>
      </c>
      <c r="G205" s="48" t="s">
        <v>136</v>
      </c>
      <c r="H205" s="50">
        <v>3</v>
      </c>
      <c r="I205" s="33"/>
      <c r="J205" s="51"/>
      <c r="K205" s="34">
        <v>0</v>
      </c>
      <c r="L205" s="52"/>
      <c r="M205" s="52"/>
      <c r="N205" s="33"/>
      <c r="O205" s="52">
        <v>0</v>
      </c>
      <c r="P205" s="52"/>
      <c r="Q205" s="52"/>
      <c r="R205" s="20"/>
      <c r="AM205" s="4"/>
      <c r="AN205" s="4"/>
      <c r="AO205" s="4"/>
      <c r="AP205" s="4"/>
      <c r="AQ205" s="4"/>
      <c r="AR205" s="4"/>
    </row>
    <row r="206" spans="1:44" s="14" customFormat="1" ht="16.5" customHeight="1">
      <c r="A206" s="87" t="s">
        <v>145</v>
      </c>
      <c r="B206" s="87"/>
      <c r="C206" s="88"/>
      <c r="D206" s="89"/>
      <c r="E206" s="89"/>
      <c r="F206" s="89"/>
      <c r="G206" s="89"/>
      <c r="H206" s="88">
        <f>SUM(H10:H205)</f>
        <v>2408</v>
      </c>
      <c r="I206" s="88">
        <f>SUM(I10:I205)</f>
        <v>1096</v>
      </c>
      <c r="J206" s="88">
        <f>SUM(J10:J205)</f>
        <v>1177</v>
      </c>
      <c r="K206" s="90">
        <f>SUM(K10:K205)</f>
        <v>428768.79000000004</v>
      </c>
      <c r="L206" s="90">
        <f t="shared" ref="L206:N206" si="1">SUM(L10:L205)</f>
        <v>433111.24000000005</v>
      </c>
      <c r="M206" s="88">
        <f t="shared" si="1"/>
        <v>0</v>
      </c>
      <c r="N206" s="88">
        <f t="shared" si="1"/>
        <v>1016</v>
      </c>
      <c r="O206" s="90">
        <f>SUM(O10:O205)</f>
        <v>2277568.9300000006</v>
      </c>
      <c r="P206" s="90">
        <f>SUM(P10:P205)</f>
        <v>2277568.9300000006</v>
      </c>
      <c r="Q206" s="90">
        <f>SUM(Q10:Q205)</f>
        <v>0</v>
      </c>
      <c r="R206" s="20"/>
      <c r="AM206" s="4"/>
      <c r="AN206" s="4"/>
      <c r="AO206" s="4"/>
      <c r="AP206" s="4"/>
      <c r="AQ206" s="4"/>
      <c r="AR206" s="4"/>
    </row>
    <row r="207" spans="1:44" s="14" customFormat="1" ht="15" customHeight="1">
      <c r="A207" s="24"/>
      <c r="B207" s="23"/>
      <c r="C207" s="24"/>
      <c r="D207" s="23"/>
      <c r="E207" s="23"/>
      <c r="F207" s="23"/>
      <c r="G207" s="23"/>
      <c r="H207" s="98"/>
      <c r="I207" s="98"/>
      <c r="J207" s="98"/>
      <c r="K207" s="98"/>
      <c r="L207" s="98"/>
      <c r="M207" s="98"/>
      <c r="N207" s="98"/>
      <c r="O207" s="98">
        <v>0</v>
      </c>
      <c r="P207" s="24"/>
      <c r="Q207" s="24"/>
      <c r="R207" s="20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12"/>
      <c r="N208" s="4"/>
      <c r="O208" s="4"/>
      <c r="P208" s="4"/>
      <c r="Q208" s="12"/>
      <c r="R208" s="20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9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15"/>
      <c r="O210" s="15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15"/>
      <c r="Q211" s="19"/>
      <c r="S211" s="20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>
      <c r="K215" s="15"/>
      <c r="L215" s="15"/>
      <c r="M215" s="15"/>
      <c r="N215" s="15"/>
      <c r="O215" s="15"/>
      <c r="P215" s="15"/>
      <c r="Q215" s="19"/>
      <c r="S215" s="20"/>
    </row>
    <row r="217" spans="1:44">
      <c r="K217" s="15"/>
      <c r="O217" s="15"/>
      <c r="P217" s="15"/>
    </row>
    <row r="220" spans="1:44">
      <c r="O220" s="15"/>
    </row>
    <row r="221" spans="1:44" s="12" customForma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15"/>
      <c r="N221" s="4"/>
      <c r="O221" s="4"/>
      <c r="P221" s="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4"/>
      <c r="AN221" s="4"/>
      <c r="AO221" s="4"/>
      <c r="AP221" s="4"/>
      <c r="AQ221" s="4"/>
      <c r="AR221" s="4"/>
    </row>
  </sheetData>
  <mergeCells count="8">
    <mergeCell ref="A206:B206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R221"/>
  <sheetViews>
    <sheetView topLeftCell="F194" zoomScaleNormal="100" workbookViewId="0">
      <selection activeCell="H206" sqref="A7:Q207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22</v>
      </c>
      <c r="I11" s="1">
        <v>10</v>
      </c>
      <c r="J11" s="26">
        <v>10</v>
      </c>
      <c r="K11" s="27">
        <f t="shared" ref="K11:K74" si="1">L11+M11</f>
        <v>15858</v>
      </c>
      <c r="L11" s="27">
        <v>15858</v>
      </c>
      <c r="M11" s="27"/>
      <c r="N11" s="1">
        <v>16</v>
      </c>
      <c r="O11" s="27">
        <f t="shared" ref="O11:O74" si="2">P11+Q11</f>
        <v>65828.320000000007</v>
      </c>
      <c r="P11" s="27">
        <v>65828.320000000007</v>
      </c>
      <c r="Q11" s="27"/>
      <c r="R11" s="31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30</v>
      </c>
      <c r="I12" s="1">
        <v>11</v>
      </c>
      <c r="J12" s="26">
        <v>15</v>
      </c>
      <c r="K12" s="27">
        <f t="shared" si="1"/>
        <v>0</v>
      </c>
      <c r="L12" s="27"/>
      <c r="M12" s="27"/>
      <c r="N12" s="1">
        <v>12</v>
      </c>
      <c r="O12" s="27">
        <f t="shared" si="2"/>
        <v>19746.059999999998</v>
      </c>
      <c r="P12" s="27">
        <v>19746.059999999998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2</v>
      </c>
      <c r="I13" s="2"/>
      <c r="J13" s="26"/>
      <c r="K13" s="27">
        <f t="shared" si="1"/>
        <v>0</v>
      </c>
      <c r="L13" s="27"/>
      <c r="M13" s="27"/>
      <c r="N13" s="2"/>
      <c r="O13" s="27">
        <f t="shared" si="2"/>
        <v>8810</v>
      </c>
      <c r="P13" s="27">
        <v>8810</v>
      </c>
      <c r="Q13" s="27"/>
      <c r="R13" s="31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12</v>
      </c>
      <c r="J14" s="26">
        <v>18</v>
      </c>
      <c r="K14" s="27">
        <f t="shared" si="1"/>
        <v>0</v>
      </c>
      <c r="L14" s="27"/>
      <c r="M14" s="27"/>
      <c r="N14" s="1">
        <v>16</v>
      </c>
      <c r="O14" s="27">
        <f t="shared" si="2"/>
        <v>18700.02</v>
      </c>
      <c r="P14" s="27">
        <v>18700.02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0</v>
      </c>
      <c r="L15" s="27"/>
      <c r="M15" s="27"/>
      <c r="N15" s="2">
        <v>11</v>
      </c>
      <c r="O15" s="27">
        <f t="shared" si="2"/>
        <v>35243.4</v>
      </c>
      <c r="P15" s="27">
        <v>35243.4</v>
      </c>
      <c r="Q15" s="27"/>
      <c r="R15" s="31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46</v>
      </c>
      <c r="I16" s="1">
        <v>38</v>
      </c>
      <c r="J16" s="26">
        <v>46</v>
      </c>
      <c r="K16" s="27">
        <f t="shared" si="1"/>
        <v>13586.04</v>
      </c>
      <c r="L16" s="27">
        <v>13586.04</v>
      </c>
      <c r="M16" s="27"/>
      <c r="N16" s="1">
        <v>24</v>
      </c>
      <c r="O16" s="27">
        <f t="shared" si="2"/>
        <v>47356.040000000008</v>
      </c>
      <c r="P16" s="27">
        <v>47356.040000000008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41</v>
      </c>
      <c r="I20" s="1">
        <v>29</v>
      </c>
      <c r="J20" s="26">
        <v>30</v>
      </c>
      <c r="K20" s="27">
        <f t="shared" si="1"/>
        <v>7945.39</v>
      </c>
      <c r="L20" s="27">
        <v>7945.39</v>
      </c>
      <c r="M20" s="27"/>
      <c r="N20" s="1">
        <v>26</v>
      </c>
      <c r="O20" s="27">
        <f t="shared" si="2"/>
        <v>58770.28</v>
      </c>
      <c r="P20" s="27">
        <v>58770.28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31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13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12</v>
      </c>
      <c r="O22" s="27">
        <f t="shared" si="2"/>
        <v>21286.2</v>
      </c>
      <c r="P22" s="27">
        <v>21286.2</v>
      </c>
      <c r="Q22" s="27"/>
      <c r="R22" s="31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1</v>
      </c>
      <c r="O23" s="27">
        <f t="shared" si="2"/>
        <v>6214.5599999999995</v>
      </c>
      <c r="P23" s="27">
        <v>6214.5599999999995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1"/>
        <v>0</v>
      </c>
      <c r="L24" s="27"/>
      <c r="M24" s="27"/>
      <c r="N24" s="1">
        <v>2</v>
      </c>
      <c r="O24" s="27">
        <f t="shared" si="2"/>
        <v>0</v>
      </c>
      <c r="P24" s="27"/>
      <c r="Q24" s="27"/>
      <c r="R24" s="31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/>
    </row>
    <row r="26" spans="1:38" s="28" customFormat="1" ht="15" customHeight="1">
      <c r="A26" s="41">
        <v>9</v>
      </c>
      <c r="B26" s="37" t="s">
        <v>484</v>
      </c>
      <c r="C26" s="41" t="s">
        <v>18</v>
      </c>
      <c r="D26" s="37"/>
      <c r="E26" s="37" t="s">
        <v>104</v>
      </c>
      <c r="F26" s="37" t="s">
        <v>487</v>
      </c>
      <c r="G26" s="37" t="s">
        <v>122</v>
      </c>
      <c r="H26" s="42">
        <v>3</v>
      </c>
      <c r="I26" s="40"/>
      <c r="J26" s="43"/>
      <c r="K26" s="27">
        <f t="shared" si="1"/>
        <v>0</v>
      </c>
      <c r="L26" s="39"/>
      <c r="M26" s="39"/>
      <c r="N26" s="40"/>
      <c r="O26" s="27">
        <f t="shared" si="2"/>
        <v>0</v>
      </c>
      <c r="P26" s="39"/>
      <c r="Q26" s="39"/>
      <c r="R26" s="31"/>
    </row>
    <row r="27" spans="1:3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f t="shared" si="1"/>
        <v>4086.08</v>
      </c>
      <c r="L27" s="27">
        <v>4086.08</v>
      </c>
      <c r="M27" s="27"/>
      <c r="N27" s="1">
        <v>3</v>
      </c>
      <c r="O27" s="27">
        <f t="shared" si="2"/>
        <v>0</v>
      </c>
      <c r="P27" s="27"/>
      <c r="Q27" s="27"/>
      <c r="R27" s="20"/>
    </row>
    <row r="28" spans="1:3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13</v>
      </c>
      <c r="I28" s="1">
        <v>8</v>
      </c>
      <c r="J28" s="44">
        <v>11</v>
      </c>
      <c r="K28" s="27">
        <f t="shared" si="1"/>
        <v>0</v>
      </c>
      <c r="L28" s="27"/>
      <c r="M28" s="27"/>
      <c r="N28" s="1">
        <v>4</v>
      </c>
      <c r="O28" s="27">
        <f t="shared" si="2"/>
        <v>12527.2</v>
      </c>
      <c r="P28" s="27">
        <v>12527.2</v>
      </c>
      <c r="Q28" s="27"/>
      <c r="R28" s="20"/>
    </row>
    <row r="29" spans="1:38" s="28" customFormat="1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f t="shared" si="1"/>
        <v>0</v>
      </c>
      <c r="L29" s="27"/>
      <c r="M29" s="27"/>
      <c r="N29" s="1">
        <v>2</v>
      </c>
      <c r="O29" s="27">
        <f t="shared" si="2"/>
        <v>2643</v>
      </c>
      <c r="P29" s="27">
        <v>2643</v>
      </c>
      <c r="Q29" s="27"/>
      <c r="R29" s="31"/>
    </row>
    <row r="30" spans="1:38" s="7" customFormat="1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21</v>
      </c>
      <c r="I30" s="1">
        <v>18</v>
      </c>
      <c r="J30" s="26">
        <v>19</v>
      </c>
      <c r="K30" s="27">
        <f t="shared" si="1"/>
        <v>1837.77</v>
      </c>
      <c r="L30" s="27">
        <v>1837.77</v>
      </c>
      <c r="M30" s="27"/>
      <c r="N30" s="1">
        <v>18</v>
      </c>
      <c r="O30" s="27">
        <f t="shared" si="2"/>
        <v>16013.28</v>
      </c>
      <c r="P30" s="27">
        <v>16013.28</v>
      </c>
      <c r="Q30" s="27"/>
      <c r="R30" s="20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1:38" s="28" customFormat="1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f t="shared" si="1"/>
        <v>0</v>
      </c>
      <c r="L31" s="27"/>
      <c r="M31" s="27"/>
      <c r="N31" s="2">
        <v>4</v>
      </c>
      <c r="O31" s="27">
        <f t="shared" si="2"/>
        <v>0</v>
      </c>
      <c r="P31" s="27"/>
      <c r="Q31" s="27"/>
      <c r="R31" s="31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f t="shared" si="1"/>
        <v>0</v>
      </c>
      <c r="L32" s="27"/>
      <c r="M32" s="27"/>
      <c r="N32" s="2">
        <v>5</v>
      </c>
      <c r="O32" s="27">
        <f t="shared" si="2"/>
        <v>5450.5</v>
      </c>
      <c r="P32" s="27">
        <v>5450.5</v>
      </c>
      <c r="Q32" s="27"/>
      <c r="R32" s="31"/>
    </row>
    <row r="33" spans="1:38" s="7" customFormat="1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21</v>
      </c>
      <c r="I33" s="1">
        <v>12</v>
      </c>
      <c r="J33" s="26">
        <v>19</v>
      </c>
      <c r="K33" s="27">
        <f t="shared" si="1"/>
        <v>6122.51</v>
      </c>
      <c r="L33" s="27">
        <v>6122.51</v>
      </c>
      <c r="M33" s="27"/>
      <c r="N33" s="1">
        <v>14</v>
      </c>
      <c r="O33" s="27">
        <f t="shared" si="2"/>
        <v>38408.44</v>
      </c>
      <c r="P33" s="27">
        <v>38408.44</v>
      </c>
      <c r="Q33" s="27"/>
      <c r="R33" s="20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1:38" s="28" customFormat="1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5</v>
      </c>
      <c r="I34" s="2">
        <v>2</v>
      </c>
      <c r="J34" s="26">
        <v>2</v>
      </c>
      <c r="K34" s="27">
        <f t="shared" si="1"/>
        <v>1380.75</v>
      </c>
      <c r="L34" s="27">
        <v>1380.75</v>
      </c>
      <c r="M34" s="27"/>
      <c r="N34" s="2">
        <v>4</v>
      </c>
      <c r="O34" s="27">
        <f t="shared" si="2"/>
        <v>2995.4</v>
      </c>
      <c r="P34" s="27">
        <v>2995.4</v>
      </c>
      <c r="Q34" s="27"/>
      <c r="R34" s="31"/>
    </row>
    <row r="35" spans="1:3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f t="shared" si="1"/>
        <v>0</v>
      </c>
      <c r="L35" s="27"/>
      <c r="M35" s="27"/>
      <c r="N35" s="1">
        <v>5</v>
      </c>
      <c r="O35" s="27">
        <f t="shared" si="2"/>
        <v>10226.050000000001</v>
      </c>
      <c r="P35" s="27">
        <v>10226.050000000001</v>
      </c>
      <c r="Q35" s="27"/>
      <c r="R35" s="20"/>
    </row>
    <row r="36" spans="1:38" s="28" customFormat="1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f t="shared" si="1"/>
        <v>0</v>
      </c>
      <c r="L36" s="27"/>
      <c r="M36" s="27"/>
      <c r="N36" s="1">
        <v>7</v>
      </c>
      <c r="O36" s="27">
        <f t="shared" si="2"/>
        <v>18317.34</v>
      </c>
      <c r="P36" s="27">
        <v>18317.34</v>
      </c>
      <c r="Q36" s="27"/>
      <c r="R36" s="31"/>
    </row>
    <row r="37" spans="1:38" s="7" customFormat="1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15</v>
      </c>
      <c r="I37" s="1">
        <v>5</v>
      </c>
      <c r="J37" s="26">
        <v>5</v>
      </c>
      <c r="K37" s="27">
        <f t="shared" si="1"/>
        <v>0</v>
      </c>
      <c r="L37" s="27"/>
      <c r="M37" s="27"/>
      <c r="N37" s="1">
        <v>10</v>
      </c>
      <c r="O37" s="27">
        <f t="shared" si="2"/>
        <v>11156.02</v>
      </c>
      <c r="P37" s="27">
        <v>11156.02</v>
      </c>
      <c r="Q37" s="27"/>
      <c r="R37" s="20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1:38" s="28" customFormat="1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16</v>
      </c>
      <c r="I38" s="2">
        <v>1</v>
      </c>
      <c r="J38" s="26">
        <v>1</v>
      </c>
      <c r="K38" s="27">
        <f t="shared" si="1"/>
        <v>0</v>
      </c>
      <c r="L38" s="27"/>
      <c r="M38" s="27"/>
      <c r="N38" s="2">
        <v>6</v>
      </c>
      <c r="O38" s="27">
        <f t="shared" si="2"/>
        <v>25082.400000000001</v>
      </c>
      <c r="P38" s="27">
        <v>25082.400000000001</v>
      </c>
      <c r="Q38" s="27"/>
      <c r="R38" s="31"/>
    </row>
    <row r="39" spans="1:3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19</v>
      </c>
      <c r="I39" s="1">
        <v>13</v>
      </c>
      <c r="J39" s="26">
        <v>15</v>
      </c>
      <c r="K39" s="27">
        <f t="shared" si="1"/>
        <v>5154.01</v>
      </c>
      <c r="L39" s="27">
        <v>5154.01</v>
      </c>
      <c r="M39" s="27"/>
      <c r="N39" s="1">
        <v>12</v>
      </c>
      <c r="O39" s="27">
        <f t="shared" si="2"/>
        <v>24143.260000000002</v>
      </c>
      <c r="P39" s="27">
        <v>24143.260000000002</v>
      </c>
      <c r="Q39" s="27"/>
      <c r="R39" s="20"/>
    </row>
    <row r="40" spans="1:38" s="28" customFormat="1" ht="14.4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17</v>
      </c>
      <c r="I40" s="2">
        <v>3</v>
      </c>
      <c r="J40" s="26">
        <v>3</v>
      </c>
      <c r="K40" s="27">
        <f t="shared" si="1"/>
        <v>0</v>
      </c>
      <c r="L40" s="27"/>
      <c r="M40" s="27"/>
      <c r="N40" s="2">
        <v>10</v>
      </c>
      <c r="O40" s="27">
        <f t="shared" si="2"/>
        <v>25108.5</v>
      </c>
      <c r="P40" s="27">
        <v>25108.5</v>
      </c>
      <c r="Q40" s="27"/>
      <c r="R40" s="31"/>
    </row>
    <row r="41" spans="1:3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13</v>
      </c>
      <c r="I41" s="1">
        <v>6</v>
      </c>
      <c r="J41" s="26">
        <v>6</v>
      </c>
      <c r="K41" s="27">
        <f t="shared" si="1"/>
        <v>1131.2</v>
      </c>
      <c r="L41" s="27">
        <v>1131.2</v>
      </c>
      <c r="M41" s="27"/>
      <c r="N41" s="1">
        <v>6</v>
      </c>
      <c r="O41" s="27">
        <f t="shared" si="2"/>
        <v>4817.32</v>
      </c>
      <c r="P41" s="27">
        <v>4817.32</v>
      </c>
      <c r="Q41" s="27"/>
      <c r="R41" s="20"/>
    </row>
    <row r="42" spans="1:38" s="28" customFormat="1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13</v>
      </c>
      <c r="I42" s="1"/>
      <c r="J42" s="26"/>
      <c r="K42" s="27">
        <f t="shared" si="1"/>
        <v>0</v>
      </c>
      <c r="L42" s="27"/>
      <c r="M42" s="27"/>
      <c r="N42" s="1">
        <v>4</v>
      </c>
      <c r="O42" s="27">
        <f t="shared" si="2"/>
        <v>6497.99</v>
      </c>
      <c r="P42" s="27">
        <v>6497.99</v>
      </c>
      <c r="Q42" s="27"/>
      <c r="R42" s="31"/>
    </row>
    <row r="43" spans="1:38" s="7" customFormat="1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25</v>
      </c>
      <c r="I43" s="1"/>
      <c r="J43" s="26"/>
      <c r="K43" s="27">
        <f t="shared" si="1"/>
        <v>0</v>
      </c>
      <c r="L43" s="27"/>
      <c r="M43" s="27"/>
      <c r="N43" s="1"/>
      <c r="O43" s="27">
        <f t="shared" si="2"/>
        <v>7158.4</v>
      </c>
      <c r="P43" s="27">
        <v>7158.4</v>
      </c>
      <c r="Q43" s="27"/>
      <c r="R43" s="20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 spans="1:38" s="28" customFormat="1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f t="shared" si="1"/>
        <v>0</v>
      </c>
      <c r="L44" s="27"/>
      <c r="M44" s="27"/>
      <c r="N44" s="2"/>
      <c r="O44" s="27">
        <f t="shared" si="2"/>
        <v>0</v>
      </c>
      <c r="P44" s="27"/>
      <c r="Q44" s="27"/>
      <c r="R44" s="31"/>
    </row>
    <row r="45" spans="1:3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f t="shared" si="1"/>
        <v>0</v>
      </c>
      <c r="L45" s="27"/>
      <c r="M45" s="27"/>
      <c r="N45" s="1">
        <v>5</v>
      </c>
      <c r="O45" s="27">
        <f t="shared" si="2"/>
        <v>34238.410000000003</v>
      </c>
      <c r="P45" s="27">
        <v>34238.410000000003</v>
      </c>
      <c r="Q45" s="27"/>
      <c r="R45" s="20"/>
    </row>
    <row r="46" spans="1:38" s="28" customFormat="1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9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6431.3</v>
      </c>
      <c r="P46" s="27">
        <v>6431.3</v>
      </c>
      <c r="Q46" s="27"/>
      <c r="R46" s="31"/>
    </row>
    <row r="47" spans="1:3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f t="shared" si="1"/>
        <v>0</v>
      </c>
      <c r="L47" s="27"/>
      <c r="M47" s="27"/>
      <c r="N47" s="1">
        <v>10</v>
      </c>
      <c r="O47" s="27">
        <f t="shared" si="2"/>
        <v>15929.75</v>
      </c>
      <c r="P47" s="27">
        <v>15929.75</v>
      </c>
      <c r="Q47" s="27"/>
      <c r="R47" s="20"/>
    </row>
    <row r="48" spans="1:38" s="28" customFormat="1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9</v>
      </c>
      <c r="I48" s="1">
        <v>2</v>
      </c>
      <c r="J48" s="26">
        <v>2</v>
      </c>
      <c r="K48" s="27">
        <f t="shared" si="1"/>
        <v>0</v>
      </c>
      <c r="L48" s="27"/>
      <c r="M48" s="27"/>
      <c r="N48" s="1">
        <v>9</v>
      </c>
      <c r="O48" s="27">
        <f t="shared" si="2"/>
        <v>20020.73</v>
      </c>
      <c r="P48" s="27">
        <v>20020.73</v>
      </c>
      <c r="Q48" s="27"/>
      <c r="R48" s="31"/>
    </row>
    <row r="49" spans="1:3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18</v>
      </c>
      <c r="I49" s="1">
        <v>15</v>
      </c>
      <c r="J49" s="26">
        <v>16</v>
      </c>
      <c r="K49" s="27">
        <f t="shared" si="1"/>
        <v>8384.2800000000007</v>
      </c>
      <c r="L49" s="27">
        <v>8384.2800000000007</v>
      </c>
      <c r="M49" s="27"/>
      <c r="N49" s="1"/>
      <c r="O49" s="27">
        <f t="shared" si="2"/>
        <v>0</v>
      </c>
      <c r="P49" s="27"/>
      <c r="Q49" s="27"/>
      <c r="R49" s="20"/>
    </row>
    <row r="50" spans="1:38" s="28" customFormat="1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8</v>
      </c>
      <c r="I50" s="1">
        <v>2</v>
      </c>
      <c r="J50" s="26">
        <v>2</v>
      </c>
      <c r="K50" s="27">
        <f t="shared" si="1"/>
        <v>0</v>
      </c>
      <c r="L50" s="27"/>
      <c r="M50" s="27"/>
      <c r="N50" s="1"/>
      <c r="O50" s="27">
        <f t="shared" si="2"/>
        <v>0</v>
      </c>
      <c r="P50" s="27"/>
      <c r="Q50" s="27"/>
      <c r="R50" s="31"/>
    </row>
    <row r="51" spans="1:3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15</v>
      </c>
      <c r="I51" s="1">
        <v>14</v>
      </c>
      <c r="J51" s="26">
        <v>16</v>
      </c>
      <c r="K51" s="27">
        <f t="shared" si="1"/>
        <v>6913.6</v>
      </c>
      <c r="L51" s="27">
        <v>6913.6</v>
      </c>
      <c r="M51" s="27"/>
      <c r="N51" s="1">
        <v>8</v>
      </c>
      <c r="O51" s="27">
        <f t="shared" si="2"/>
        <v>21680.73</v>
      </c>
      <c r="P51" s="27">
        <v>21680.73</v>
      </c>
      <c r="Q51" s="27"/>
      <c r="R51" s="20"/>
    </row>
    <row r="52" spans="1:38" s="28" customFormat="1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f t="shared" si="1"/>
        <v>0</v>
      </c>
      <c r="L52" s="27"/>
      <c r="M52" s="27"/>
      <c r="N52" s="1"/>
      <c r="O52" s="27">
        <f t="shared" si="2"/>
        <v>0</v>
      </c>
      <c r="P52" s="27"/>
      <c r="Q52" s="27"/>
      <c r="R52" s="31"/>
    </row>
    <row r="53" spans="1:3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f t="shared" si="1"/>
        <v>0</v>
      </c>
      <c r="L53" s="27"/>
      <c r="M53" s="27"/>
      <c r="N53" s="1">
        <v>10</v>
      </c>
      <c r="O53" s="27">
        <f t="shared" si="2"/>
        <v>0</v>
      </c>
      <c r="P53" s="27"/>
      <c r="Q53" s="27"/>
      <c r="R53" s="20"/>
    </row>
    <row r="54" spans="1:38" s="7" customFormat="1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22</v>
      </c>
      <c r="I54" s="1">
        <v>10</v>
      </c>
      <c r="J54" s="26">
        <v>10</v>
      </c>
      <c r="K54" s="27">
        <f t="shared" si="1"/>
        <v>0</v>
      </c>
      <c r="L54" s="27"/>
      <c r="M54" s="27"/>
      <c r="N54" s="1">
        <v>10</v>
      </c>
      <c r="O54" s="27">
        <f t="shared" si="2"/>
        <v>35131.58</v>
      </c>
      <c r="P54" s="27">
        <v>35131.58</v>
      </c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s="28" customFormat="1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11</v>
      </c>
      <c r="I55" s="2">
        <v>1</v>
      </c>
      <c r="J55" s="26">
        <v>1</v>
      </c>
      <c r="K55" s="27">
        <f t="shared" si="1"/>
        <v>0</v>
      </c>
      <c r="L55" s="27"/>
      <c r="M55" s="27"/>
      <c r="N55" s="2">
        <v>2</v>
      </c>
      <c r="O55" s="27">
        <f t="shared" si="2"/>
        <v>5638.4</v>
      </c>
      <c r="P55" s="27">
        <v>5638.4</v>
      </c>
      <c r="Q55" s="27"/>
      <c r="R55" s="31"/>
    </row>
    <row r="56" spans="1:38" s="28" customFormat="1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f t="shared" si="1"/>
        <v>0</v>
      </c>
      <c r="L56" s="27"/>
      <c r="M56" s="27"/>
      <c r="N56" s="2"/>
      <c r="O56" s="27">
        <f t="shared" si="2"/>
        <v>0</v>
      </c>
      <c r="P56" s="27"/>
      <c r="Q56" s="27"/>
      <c r="R56" s="31"/>
    </row>
    <row r="57" spans="1:38" s="28" customFormat="1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25</v>
      </c>
      <c r="I57" s="2">
        <v>1</v>
      </c>
      <c r="J57" s="26">
        <v>1</v>
      </c>
      <c r="K57" s="27">
        <f t="shared" si="1"/>
        <v>0</v>
      </c>
      <c r="L57" s="27"/>
      <c r="M57" s="27"/>
      <c r="N57" s="2"/>
      <c r="O57" s="27">
        <f t="shared" si="2"/>
        <v>6630</v>
      </c>
      <c r="P57" s="27">
        <v>6630</v>
      </c>
      <c r="Q57" s="27"/>
      <c r="R57" s="31"/>
    </row>
    <row r="58" spans="1:38" s="8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f t="shared" si="1"/>
        <v>0</v>
      </c>
      <c r="L58" s="83"/>
      <c r="M58" s="83"/>
      <c r="N58" s="26"/>
      <c r="O58" s="27">
        <f t="shared" si="2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16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42</v>
      </c>
      <c r="I60" s="26">
        <v>20</v>
      </c>
      <c r="J60" s="26">
        <v>20</v>
      </c>
      <c r="K60" s="27">
        <f t="shared" si="1"/>
        <v>12981.51</v>
      </c>
      <c r="L60" s="83">
        <v>12981.51</v>
      </c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7" customFormat="1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33</v>
      </c>
      <c r="I61" s="1">
        <v>21</v>
      </c>
      <c r="J61" s="26">
        <v>21</v>
      </c>
      <c r="K61" s="27">
        <f t="shared" si="1"/>
        <v>16237.82</v>
      </c>
      <c r="L61" s="27">
        <v>16237.82</v>
      </c>
      <c r="M61" s="27"/>
      <c r="N61" s="1">
        <v>16</v>
      </c>
      <c r="O61" s="27">
        <f t="shared" si="2"/>
        <v>28261.599999999999</v>
      </c>
      <c r="P61" s="27">
        <v>28261.599999999999</v>
      </c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29</v>
      </c>
      <c r="I62" s="1">
        <v>15</v>
      </c>
      <c r="J62" s="26">
        <v>17</v>
      </c>
      <c r="K62" s="27">
        <f t="shared" si="1"/>
        <v>1602.98</v>
      </c>
      <c r="L62" s="27">
        <v>1602.98</v>
      </c>
      <c r="M62" s="27"/>
      <c r="N62" s="1">
        <v>12</v>
      </c>
      <c r="O62" s="27">
        <f t="shared" si="2"/>
        <v>37111.350000000006</v>
      </c>
      <c r="P62" s="27">
        <v>37111.350000000006</v>
      </c>
      <c r="Q62" s="27"/>
      <c r="R62" s="20"/>
    </row>
    <row r="63" spans="1:38" s="28" customFormat="1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19</v>
      </c>
      <c r="I63" s="1">
        <v>4</v>
      </c>
      <c r="J63" s="26">
        <v>4</v>
      </c>
      <c r="K63" s="27">
        <f t="shared" si="1"/>
        <v>4581.2</v>
      </c>
      <c r="L63" s="27">
        <v>4581.2</v>
      </c>
      <c r="M63" s="27"/>
      <c r="N63" s="1">
        <v>11</v>
      </c>
      <c r="O63" s="27">
        <f t="shared" si="2"/>
        <v>28720.6</v>
      </c>
      <c r="P63" s="27">
        <v>28720.6</v>
      </c>
      <c r="Q63" s="27"/>
      <c r="R63" s="31"/>
    </row>
    <row r="64" spans="1:38" s="7" customFormat="1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16</v>
      </c>
      <c r="K64" s="27">
        <f t="shared" si="1"/>
        <v>0</v>
      </c>
      <c r="L64" s="27"/>
      <c r="M64" s="27"/>
      <c r="N64" s="1">
        <v>21</v>
      </c>
      <c r="O64" s="27">
        <f t="shared" si="2"/>
        <v>26863.22</v>
      </c>
      <c r="P64" s="27">
        <v>26863.22</v>
      </c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s="28" customFormat="1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f t="shared" si="1"/>
        <v>3876.4</v>
      </c>
      <c r="L65" s="27">
        <v>3876.4</v>
      </c>
      <c r="M65" s="27"/>
      <c r="N65" s="1">
        <v>19</v>
      </c>
      <c r="O65" s="27">
        <f t="shared" si="2"/>
        <v>47944.02</v>
      </c>
      <c r="P65" s="27">
        <v>47944.02</v>
      </c>
      <c r="Q65" s="27"/>
      <c r="R65" s="31"/>
    </row>
    <row r="66" spans="1:38" s="7" customFormat="1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5</v>
      </c>
      <c r="J66" s="26">
        <v>5</v>
      </c>
      <c r="K66" s="27">
        <f t="shared" si="1"/>
        <v>0</v>
      </c>
      <c r="L66" s="27"/>
      <c r="M66" s="27"/>
      <c r="N66" s="1">
        <v>5</v>
      </c>
      <c r="O66" s="27">
        <f t="shared" si="2"/>
        <v>7690.6</v>
      </c>
      <c r="P66" s="27">
        <v>7690.6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14</v>
      </c>
      <c r="I67" s="1">
        <v>9</v>
      </c>
      <c r="J67" s="26">
        <v>9</v>
      </c>
      <c r="K67" s="27">
        <f t="shared" si="1"/>
        <v>0</v>
      </c>
      <c r="L67" s="27"/>
      <c r="M67" s="27"/>
      <c r="N67" s="1">
        <v>9</v>
      </c>
      <c r="O67" s="27">
        <f t="shared" si="2"/>
        <v>85225.84</v>
      </c>
      <c r="P67" s="27">
        <v>85225.84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28" customFormat="1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f t="shared" si="1"/>
        <v>0</v>
      </c>
      <c r="L68" s="27"/>
      <c r="M68" s="27"/>
      <c r="N68" s="1">
        <v>4</v>
      </c>
      <c r="O68" s="27">
        <f t="shared" si="2"/>
        <v>6563.45</v>
      </c>
      <c r="P68" s="27">
        <v>6563.45</v>
      </c>
      <c r="Q68" s="27"/>
      <c r="R68" s="31"/>
    </row>
    <row r="69" spans="1:3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16</v>
      </c>
      <c r="I69" s="1">
        <v>9</v>
      </c>
      <c r="J69" s="26">
        <v>10</v>
      </c>
      <c r="K69" s="27">
        <f t="shared" si="1"/>
        <v>1046.6300000000001</v>
      </c>
      <c r="L69" s="27">
        <v>1046.6300000000001</v>
      </c>
      <c r="M69" s="27"/>
      <c r="N69" s="1">
        <v>7</v>
      </c>
      <c r="O69" s="27">
        <f t="shared" si="2"/>
        <v>6874.29</v>
      </c>
      <c r="P69" s="27">
        <v>6874.29</v>
      </c>
      <c r="Q69" s="27"/>
      <c r="R69" s="20"/>
    </row>
    <row r="70" spans="1:38" s="28" customFormat="1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11</v>
      </c>
      <c r="I70" s="2">
        <v>4</v>
      </c>
      <c r="J70" s="26">
        <v>4</v>
      </c>
      <c r="K70" s="27">
        <f t="shared" si="1"/>
        <v>0</v>
      </c>
      <c r="L70" s="27"/>
      <c r="M70" s="27"/>
      <c r="N70" s="2">
        <v>5</v>
      </c>
      <c r="O70" s="27">
        <f t="shared" si="2"/>
        <v>3524</v>
      </c>
      <c r="P70" s="27">
        <v>3524</v>
      </c>
      <c r="Q70" s="27"/>
      <c r="R70" s="31"/>
    </row>
    <row r="71" spans="1:3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29</v>
      </c>
      <c r="I71" s="2">
        <v>20</v>
      </c>
      <c r="J71" s="26">
        <v>20</v>
      </c>
      <c r="K71" s="27">
        <f t="shared" si="1"/>
        <v>3127.55</v>
      </c>
      <c r="L71" s="27">
        <v>3127.55</v>
      </c>
      <c r="M71" s="27"/>
      <c r="N71" s="2"/>
      <c r="O71" s="27">
        <f t="shared" si="2"/>
        <v>0</v>
      </c>
      <c r="P71" s="27"/>
      <c r="Q71" s="27"/>
      <c r="R71" s="20"/>
    </row>
    <row r="72" spans="1:38" s="7" customFormat="1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36</v>
      </c>
      <c r="I72" s="1">
        <v>22</v>
      </c>
      <c r="J72" s="26">
        <v>23</v>
      </c>
      <c r="K72" s="27">
        <f t="shared" si="1"/>
        <v>2199.6799999999998</v>
      </c>
      <c r="L72" s="27">
        <v>2199.6799999999998</v>
      </c>
      <c r="M72" s="27"/>
      <c r="N72" s="1">
        <v>21</v>
      </c>
      <c r="O72" s="27">
        <f t="shared" si="2"/>
        <v>87678.12</v>
      </c>
      <c r="P72" s="27">
        <v>87678.12</v>
      </c>
      <c r="Q72" s="27"/>
      <c r="R72" s="20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1:38" s="28" customFormat="1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f t="shared" si="1"/>
        <v>0</v>
      </c>
      <c r="L73" s="27"/>
      <c r="M73" s="27"/>
      <c r="N73" s="2"/>
      <c r="O73" s="27">
        <f t="shared" si="2"/>
        <v>0</v>
      </c>
      <c r="P73" s="27"/>
      <c r="Q73" s="27"/>
      <c r="R73" s="31"/>
    </row>
    <row r="74" spans="1:3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36</v>
      </c>
      <c r="I74" s="1">
        <v>23</v>
      </c>
      <c r="J74" s="26">
        <v>23</v>
      </c>
      <c r="K74" s="27">
        <f t="shared" si="1"/>
        <v>16430.45</v>
      </c>
      <c r="L74" s="27">
        <v>16430.45</v>
      </c>
      <c r="M74" s="27"/>
      <c r="N74" s="1">
        <v>8</v>
      </c>
      <c r="O74" s="27">
        <f t="shared" si="2"/>
        <v>28062.41</v>
      </c>
      <c r="P74" s="27">
        <v>28062.41</v>
      </c>
      <c r="Q74" s="27"/>
      <c r="R74" s="20"/>
    </row>
    <row r="75" spans="1:38" s="28" customFormat="1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476</v>
      </c>
      <c r="G75" s="23" t="s">
        <v>124</v>
      </c>
      <c r="H75" s="25">
        <v>0</v>
      </c>
      <c r="I75" s="1"/>
      <c r="J75" s="26"/>
      <c r="K75" s="27">
        <f t="shared" ref="K75:K138" si="3">L75+M75</f>
        <v>0</v>
      </c>
      <c r="L75" s="27"/>
      <c r="M75" s="27"/>
      <c r="N75" s="1">
        <v>1</v>
      </c>
      <c r="O75" s="27">
        <f t="shared" ref="O75:O138" si="4">P75+Q75</f>
        <v>2146.4</v>
      </c>
      <c r="P75" s="27">
        <v>2146.4</v>
      </c>
      <c r="Q75" s="27"/>
      <c r="R75" s="31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11</v>
      </c>
      <c r="I76" s="1">
        <v>1</v>
      </c>
      <c r="J76" s="26">
        <v>1</v>
      </c>
      <c r="K76" s="27">
        <f t="shared" si="3"/>
        <v>5072.1000000000004</v>
      </c>
      <c r="L76" s="27">
        <v>5072.1000000000004</v>
      </c>
      <c r="M76" s="27"/>
      <c r="N76" s="1">
        <v>8</v>
      </c>
      <c r="O76" s="27">
        <f t="shared" si="4"/>
        <v>42935.74</v>
      </c>
      <c r="P76" s="27">
        <v>42935.74</v>
      </c>
      <c r="Q76" s="27"/>
      <c r="R76" s="31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f t="shared" si="3"/>
        <v>0</v>
      </c>
      <c r="L77" s="27"/>
      <c r="M77" s="27"/>
      <c r="N77" s="1">
        <v>10</v>
      </c>
      <c r="O77" s="27">
        <f t="shared" si="4"/>
        <v>9489.91</v>
      </c>
      <c r="P77" s="27">
        <v>9489.91</v>
      </c>
      <c r="Q77" s="27"/>
      <c r="R77" s="31"/>
    </row>
    <row r="78" spans="1:3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20</v>
      </c>
      <c r="I78" s="1">
        <v>8</v>
      </c>
      <c r="J78" s="26">
        <v>8</v>
      </c>
      <c r="K78" s="27">
        <f t="shared" si="3"/>
        <v>4400.6000000000004</v>
      </c>
      <c r="L78" s="27">
        <v>4400.6000000000004</v>
      </c>
      <c r="M78" s="27"/>
      <c r="N78" s="1">
        <v>17</v>
      </c>
      <c r="O78" s="27">
        <f t="shared" si="4"/>
        <v>46129.759999999995</v>
      </c>
      <c r="P78" s="27">
        <v>46129.759999999995</v>
      </c>
      <c r="Q78" s="27"/>
      <c r="R78" s="20"/>
    </row>
    <row r="79" spans="1:38" s="28" customFormat="1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22</v>
      </c>
      <c r="I79" s="2"/>
      <c r="J79" s="26"/>
      <c r="K79" s="27">
        <f t="shared" si="3"/>
        <v>0</v>
      </c>
      <c r="L79" s="27"/>
      <c r="M79" s="27"/>
      <c r="N79" s="2">
        <v>13</v>
      </c>
      <c r="O79" s="27">
        <f t="shared" si="4"/>
        <v>64394.46</v>
      </c>
      <c r="P79" s="27">
        <v>64394.46</v>
      </c>
      <c r="Q79" s="27"/>
      <c r="R79" s="31"/>
    </row>
    <row r="80" spans="1:38" s="17" customFormat="1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f t="shared" si="3"/>
        <v>0</v>
      </c>
      <c r="L80" s="27"/>
      <c r="M80" s="27"/>
      <c r="N80" s="2">
        <v>5</v>
      </c>
      <c r="O80" s="27">
        <f t="shared" si="4"/>
        <v>0</v>
      </c>
      <c r="P80" s="27"/>
      <c r="Q80" s="27"/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s="28" customFormat="1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9</v>
      </c>
      <c r="I81" s="1"/>
      <c r="J81" s="26"/>
      <c r="K81" s="27">
        <f t="shared" si="3"/>
        <v>0</v>
      </c>
      <c r="L81" s="27"/>
      <c r="M81" s="27"/>
      <c r="N81" s="1">
        <v>11</v>
      </c>
      <c r="O81" s="27">
        <f t="shared" si="4"/>
        <v>14624.6</v>
      </c>
      <c r="P81" s="27">
        <v>14624.6</v>
      </c>
      <c r="Q81" s="27"/>
      <c r="R81" s="31"/>
    </row>
    <row r="82" spans="1:3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14</v>
      </c>
      <c r="I82" s="1">
        <v>10</v>
      </c>
      <c r="J82" s="26">
        <v>10</v>
      </c>
      <c r="K82" s="27">
        <f t="shared" si="3"/>
        <v>0</v>
      </c>
      <c r="L82" s="27"/>
      <c r="M82" s="27"/>
      <c r="N82" s="1"/>
      <c r="O82" s="27">
        <f t="shared" si="4"/>
        <v>0</v>
      </c>
      <c r="P82" s="27"/>
      <c r="Q82" s="27"/>
      <c r="R82" s="20"/>
    </row>
    <row r="83" spans="1:38" s="28" customFormat="1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10</v>
      </c>
      <c r="I83" s="1"/>
      <c r="J83" s="26"/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31"/>
    </row>
    <row r="84" spans="1:38" s="17" customFormat="1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70</v>
      </c>
      <c r="I84" s="1">
        <v>42</v>
      </c>
      <c r="J84" s="26">
        <v>42</v>
      </c>
      <c r="K84" s="27">
        <f t="shared" si="3"/>
        <v>26106.489999999998</v>
      </c>
      <c r="L84" s="27">
        <v>26106.489999999998</v>
      </c>
      <c r="M84" s="27"/>
      <c r="N84" s="1">
        <v>2</v>
      </c>
      <c r="O84" s="27">
        <f t="shared" si="4"/>
        <v>9777.93</v>
      </c>
      <c r="P84" s="27">
        <v>9777.93</v>
      </c>
      <c r="Q84" s="27"/>
      <c r="R84" s="20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:38" s="28" customFormat="1" ht="15" customHeight="1">
      <c r="A85" s="41">
        <v>42</v>
      </c>
      <c r="B85" s="37" t="s">
        <v>486</v>
      </c>
      <c r="C85" s="41" t="s">
        <v>18</v>
      </c>
      <c r="D85" s="37"/>
      <c r="E85" s="37" t="s">
        <v>488</v>
      </c>
      <c r="F85" s="37" t="s">
        <v>268</v>
      </c>
      <c r="G85" s="37" t="s">
        <v>131</v>
      </c>
      <c r="H85" s="42">
        <v>3</v>
      </c>
      <c r="I85" s="40"/>
      <c r="J85" s="43"/>
      <c r="K85" s="27">
        <f t="shared" si="3"/>
        <v>0</v>
      </c>
      <c r="L85" s="39"/>
      <c r="M85" s="39"/>
      <c r="N85" s="40"/>
      <c r="O85" s="27">
        <f t="shared" si="4"/>
        <v>0</v>
      </c>
      <c r="P85" s="39"/>
      <c r="Q85" s="39"/>
      <c r="R85" s="31"/>
    </row>
    <row r="86" spans="1:38" s="7" customFormat="1" ht="15" customHeight="1">
      <c r="A86" s="24">
        <v>43</v>
      </c>
      <c r="B86" s="23" t="s">
        <v>65</v>
      </c>
      <c r="C86" s="24" t="s">
        <v>18</v>
      </c>
      <c r="D86" s="23"/>
      <c r="E86" s="23" t="s">
        <v>66</v>
      </c>
      <c r="F86" s="23" t="s">
        <v>409</v>
      </c>
      <c r="G86" s="23" t="s">
        <v>142</v>
      </c>
      <c r="H86" s="25">
        <v>12</v>
      </c>
      <c r="I86" s="1">
        <v>4</v>
      </c>
      <c r="J86" s="26">
        <v>6</v>
      </c>
      <c r="K86" s="27">
        <f t="shared" si="3"/>
        <v>0</v>
      </c>
      <c r="L86" s="27"/>
      <c r="M86" s="27"/>
      <c r="N86" s="1">
        <v>14</v>
      </c>
      <c r="O86" s="27">
        <f t="shared" si="4"/>
        <v>7945.96</v>
      </c>
      <c r="P86" s="27">
        <v>7945.96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65</v>
      </c>
      <c r="C87" s="24" t="s">
        <v>18</v>
      </c>
      <c r="D87" s="23"/>
      <c r="E87" s="23" t="s">
        <v>66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4"/>
        <v>0</v>
      </c>
      <c r="P87" s="27"/>
      <c r="Q87" s="27"/>
      <c r="R87" s="31"/>
    </row>
    <row r="88" spans="1:38" s="7" customFormat="1" ht="15" customHeight="1">
      <c r="A88" s="24">
        <v>44</v>
      </c>
      <c r="B88" s="23" t="s">
        <v>67</v>
      </c>
      <c r="C88" s="24" t="s">
        <v>18</v>
      </c>
      <c r="D88" s="23"/>
      <c r="E88" s="23" t="s">
        <v>19</v>
      </c>
      <c r="F88" s="23" t="s">
        <v>410</v>
      </c>
      <c r="G88" s="23" t="s">
        <v>142</v>
      </c>
      <c r="H88" s="25">
        <v>36</v>
      </c>
      <c r="I88" s="1">
        <v>34</v>
      </c>
      <c r="J88" s="26">
        <v>35</v>
      </c>
      <c r="K88" s="27">
        <f t="shared" si="3"/>
        <v>22987.47</v>
      </c>
      <c r="L88" s="27">
        <v>22987.47</v>
      </c>
      <c r="M88" s="27"/>
      <c r="N88" s="1">
        <v>14</v>
      </c>
      <c r="O88" s="27">
        <f t="shared" si="4"/>
        <v>17059.530000000002</v>
      </c>
      <c r="P88" s="27">
        <v>17059.530000000002</v>
      </c>
      <c r="Q88" s="27"/>
      <c r="R88" s="20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 spans="1:38" s="28" customFormat="1" ht="15" customHeight="1">
      <c r="A89" s="24"/>
      <c r="B89" s="23" t="s">
        <v>67</v>
      </c>
      <c r="C89" s="24" t="s">
        <v>18</v>
      </c>
      <c r="D89" s="23"/>
      <c r="E89" s="23" t="s">
        <v>104</v>
      </c>
      <c r="F89" s="23" t="s">
        <v>123</v>
      </c>
      <c r="G89" s="23" t="s">
        <v>122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31"/>
    </row>
    <row r="90" spans="1:38" ht="15" customHeight="1">
      <c r="A90" s="24">
        <v>45</v>
      </c>
      <c r="B90" s="23" t="s">
        <v>68</v>
      </c>
      <c r="C90" s="24" t="s">
        <v>18</v>
      </c>
      <c r="D90" s="24"/>
      <c r="E90" s="23" t="s">
        <v>50</v>
      </c>
      <c r="F90" s="23" t="s">
        <v>411</v>
      </c>
      <c r="G90" s="23" t="s">
        <v>142</v>
      </c>
      <c r="H90" s="25">
        <v>9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s="28" customFormat="1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123</v>
      </c>
      <c r="G91" s="23" t="s">
        <v>136</v>
      </c>
      <c r="H91" s="25">
        <v>0</v>
      </c>
      <c r="I91" s="2"/>
      <c r="J91" s="26"/>
      <c r="K91" s="27">
        <f t="shared" si="3"/>
        <v>0</v>
      </c>
      <c r="L91" s="27"/>
      <c r="M91" s="27"/>
      <c r="N91" s="2"/>
      <c r="O91" s="27">
        <f t="shared" si="4"/>
        <v>0</v>
      </c>
      <c r="P91" s="27"/>
      <c r="Q91" s="27"/>
      <c r="R91" s="31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292</v>
      </c>
      <c r="G92" s="23" t="s">
        <v>124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31"/>
    </row>
    <row r="93" spans="1:38" ht="15" customHeight="1">
      <c r="A93" s="24">
        <v>46</v>
      </c>
      <c r="B93" s="23" t="s">
        <v>127</v>
      </c>
      <c r="C93" s="24" t="s">
        <v>18</v>
      </c>
      <c r="D93" s="23"/>
      <c r="E93" s="23" t="s">
        <v>41</v>
      </c>
      <c r="F93" s="23" t="s">
        <v>412</v>
      </c>
      <c r="G93" s="23" t="s">
        <v>142</v>
      </c>
      <c r="H93" s="25">
        <v>15</v>
      </c>
      <c r="I93" s="2">
        <v>9</v>
      </c>
      <c r="J93" s="26">
        <v>10</v>
      </c>
      <c r="K93" s="27">
        <f t="shared" si="3"/>
        <v>0</v>
      </c>
      <c r="L93" s="27"/>
      <c r="M93" s="27"/>
      <c r="N93" s="2">
        <v>7</v>
      </c>
      <c r="O93" s="27">
        <f t="shared" si="4"/>
        <v>4981.9400000000005</v>
      </c>
      <c r="P93" s="27">
        <v>4981.9400000000005</v>
      </c>
      <c r="Q93" s="27"/>
      <c r="R93" s="20"/>
    </row>
    <row r="94" spans="1:38" s="28" customFormat="1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364</v>
      </c>
      <c r="G94" s="23" t="s">
        <v>136</v>
      </c>
      <c r="H94" s="25">
        <v>11</v>
      </c>
      <c r="I94" s="2">
        <v>5</v>
      </c>
      <c r="J94" s="26">
        <v>5</v>
      </c>
      <c r="K94" s="27">
        <f t="shared" si="3"/>
        <v>0</v>
      </c>
      <c r="L94" s="27"/>
      <c r="M94" s="27"/>
      <c r="N94" s="2">
        <v>19</v>
      </c>
      <c r="O94" s="27">
        <f t="shared" si="4"/>
        <v>25636.7</v>
      </c>
      <c r="P94" s="27">
        <v>25636.7</v>
      </c>
      <c r="Q94" s="27"/>
      <c r="R94" s="31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375</v>
      </c>
      <c r="G95" s="23" t="s">
        <v>124</v>
      </c>
      <c r="H95" s="25">
        <v>1</v>
      </c>
      <c r="I95" s="2">
        <v>1</v>
      </c>
      <c r="J95" s="26">
        <v>1</v>
      </c>
      <c r="K95" s="27">
        <f t="shared" si="3"/>
        <v>1288.7</v>
      </c>
      <c r="L95" s="27">
        <v>1288.7</v>
      </c>
      <c r="M95" s="27"/>
      <c r="N95" s="2">
        <v>3</v>
      </c>
      <c r="O95" s="27">
        <f t="shared" si="4"/>
        <v>616.70000000000005</v>
      </c>
      <c r="P95" s="27">
        <v>616.70000000000005</v>
      </c>
      <c r="Q95" s="27"/>
      <c r="R95" s="31"/>
    </row>
    <row r="96" spans="1:38" s="7" customFormat="1" ht="15" customHeight="1">
      <c r="A96" s="74">
        <v>47</v>
      </c>
      <c r="B96" s="77" t="s">
        <v>69</v>
      </c>
      <c r="C96" s="74" t="s">
        <v>18</v>
      </c>
      <c r="D96" s="77"/>
      <c r="E96" s="77" t="s">
        <v>19</v>
      </c>
      <c r="F96" s="77" t="s">
        <v>292</v>
      </c>
      <c r="G96" s="77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s="7" customFormat="1" ht="15.75" customHeight="1">
      <c r="A97" s="74">
        <v>48</v>
      </c>
      <c r="B97" s="77" t="s">
        <v>70</v>
      </c>
      <c r="C97" s="74" t="s">
        <v>18</v>
      </c>
      <c r="D97" s="77"/>
      <c r="E97" s="77" t="s">
        <v>19</v>
      </c>
      <c r="F97" s="77" t="s">
        <v>413</v>
      </c>
      <c r="G97" s="77" t="s">
        <v>142</v>
      </c>
      <c r="H97" s="25">
        <v>13</v>
      </c>
      <c r="I97" s="1">
        <v>10</v>
      </c>
      <c r="J97" s="26">
        <v>10</v>
      </c>
      <c r="K97" s="27">
        <f t="shared" si="3"/>
        <v>2262.4</v>
      </c>
      <c r="L97" s="27">
        <v>2262.4</v>
      </c>
      <c r="M97" s="27"/>
      <c r="N97" s="1">
        <v>7</v>
      </c>
      <c r="O97" s="27">
        <f t="shared" si="4"/>
        <v>9533.19</v>
      </c>
      <c r="P97" s="27">
        <v>9533.19</v>
      </c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ht="15" customHeight="1">
      <c r="A98" s="74">
        <v>49</v>
      </c>
      <c r="B98" s="77" t="s">
        <v>71</v>
      </c>
      <c r="C98" s="74" t="s">
        <v>18</v>
      </c>
      <c r="D98" s="77"/>
      <c r="E98" s="77" t="s">
        <v>32</v>
      </c>
      <c r="F98" s="77" t="s">
        <v>292</v>
      </c>
      <c r="G98" s="77" t="s">
        <v>121</v>
      </c>
      <c r="H98" s="25">
        <v>0</v>
      </c>
      <c r="I98" s="1"/>
      <c r="J98" s="26"/>
      <c r="K98" s="27">
        <f t="shared" si="3"/>
        <v>0</v>
      </c>
      <c r="L98" s="27"/>
      <c r="M98" s="27"/>
      <c r="N98" s="1">
        <v>2</v>
      </c>
      <c r="O98" s="27">
        <f t="shared" si="4"/>
        <v>10878.949999999999</v>
      </c>
      <c r="P98" s="27">
        <v>10878.949999999999</v>
      </c>
      <c r="Q98" s="27"/>
      <c r="R98" s="20"/>
    </row>
    <row r="99" spans="1:38" s="28" customFormat="1" ht="15" customHeight="1">
      <c r="A99" s="24"/>
      <c r="B99" s="23" t="s">
        <v>71</v>
      </c>
      <c r="C99" s="24" t="s">
        <v>18</v>
      </c>
      <c r="D99" s="23"/>
      <c r="E99" s="23" t="s">
        <v>32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38" ht="15" customHeight="1">
      <c r="A100" s="24">
        <v>50</v>
      </c>
      <c r="B100" s="23" t="s">
        <v>72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28" customFormat="1" ht="15" customHeight="1">
      <c r="A101" s="24"/>
      <c r="B101" s="23" t="s">
        <v>72</v>
      </c>
      <c r="C101" s="24" t="s">
        <v>18</v>
      </c>
      <c r="D101" s="23"/>
      <c r="E101" s="23" t="s">
        <v>19</v>
      </c>
      <c r="F101" s="23" t="s">
        <v>292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38" ht="15" customHeight="1">
      <c r="A102" s="24">
        <v>51</v>
      </c>
      <c r="B102" s="23" t="s">
        <v>73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s="7" customFormat="1" ht="15" customHeight="1">
      <c r="A103" s="24">
        <v>52</v>
      </c>
      <c r="B103" s="23" t="s">
        <v>74</v>
      </c>
      <c r="C103" s="24" t="s">
        <v>18</v>
      </c>
      <c r="D103" s="23"/>
      <c r="E103" s="23" t="s">
        <v>19</v>
      </c>
      <c r="F103" s="23" t="s">
        <v>414</v>
      </c>
      <c r="G103" s="23" t="s">
        <v>142</v>
      </c>
      <c r="H103" s="25">
        <v>27</v>
      </c>
      <c r="I103" s="1">
        <v>18</v>
      </c>
      <c r="J103" s="26">
        <v>19</v>
      </c>
      <c r="K103" s="27">
        <f t="shared" si="3"/>
        <v>5328.29</v>
      </c>
      <c r="L103" s="27">
        <v>5328.29</v>
      </c>
      <c r="M103" s="27"/>
      <c r="N103" s="1">
        <v>10</v>
      </c>
      <c r="O103" s="27">
        <f t="shared" si="4"/>
        <v>31383.29</v>
      </c>
      <c r="P103" s="27">
        <v>31383.29</v>
      </c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>
        <v>53</v>
      </c>
      <c r="B104" s="23" t="s">
        <v>312</v>
      </c>
      <c r="C104" s="24" t="s">
        <v>18</v>
      </c>
      <c r="D104" s="23"/>
      <c r="E104" s="23" t="s">
        <v>19</v>
      </c>
      <c r="F104" s="23" t="s">
        <v>415</v>
      </c>
      <c r="G104" s="23" t="s">
        <v>142</v>
      </c>
      <c r="H104" s="25">
        <v>14</v>
      </c>
      <c r="I104" s="1">
        <v>10</v>
      </c>
      <c r="J104" s="26">
        <v>10</v>
      </c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28" customFormat="1" ht="15" customHeight="1">
      <c r="A105" s="24"/>
      <c r="B105" s="23" t="s">
        <v>312</v>
      </c>
      <c r="C105" s="24" t="s">
        <v>18</v>
      </c>
      <c r="D105" s="23"/>
      <c r="E105" s="23" t="s">
        <v>304</v>
      </c>
      <c r="F105" s="23" t="s">
        <v>339</v>
      </c>
      <c r="G105" s="23" t="s">
        <v>131</v>
      </c>
      <c r="H105" s="25">
        <v>13</v>
      </c>
      <c r="I105" s="1">
        <v>3</v>
      </c>
      <c r="J105" s="26">
        <v>3</v>
      </c>
      <c r="K105" s="27">
        <f t="shared" si="3"/>
        <v>1057.2</v>
      </c>
      <c r="L105" s="27">
        <v>1057.2</v>
      </c>
      <c r="M105" s="27"/>
      <c r="N105" s="1"/>
      <c r="O105" s="27">
        <f t="shared" si="4"/>
        <v>0</v>
      </c>
      <c r="Q105" s="27"/>
      <c r="R105" s="31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41</v>
      </c>
      <c r="F106" s="23" t="s">
        <v>467</v>
      </c>
      <c r="G106" s="23" t="s">
        <v>136</v>
      </c>
      <c r="H106" s="25">
        <v>31</v>
      </c>
      <c r="I106" s="1">
        <v>1</v>
      </c>
      <c r="J106" s="26">
        <v>1</v>
      </c>
      <c r="K106" s="27">
        <f t="shared" si="3"/>
        <v>3005.05</v>
      </c>
      <c r="L106" s="27">
        <v>3005.05</v>
      </c>
      <c r="M106" s="27"/>
      <c r="N106" s="1"/>
      <c r="O106" s="27">
        <f t="shared" si="4"/>
        <v>0</v>
      </c>
      <c r="P106" s="27"/>
      <c r="Q106" s="27"/>
      <c r="R106" s="31"/>
    </row>
    <row r="107" spans="1:38" ht="15" customHeight="1">
      <c r="A107" s="24">
        <v>54</v>
      </c>
      <c r="B107" s="23" t="s">
        <v>75</v>
      </c>
      <c r="C107" s="24" t="s">
        <v>18</v>
      </c>
      <c r="D107" s="23"/>
      <c r="E107" s="23" t="s">
        <v>19</v>
      </c>
      <c r="F107" s="23" t="s">
        <v>416</v>
      </c>
      <c r="G107" s="23" t="s">
        <v>142</v>
      </c>
      <c r="H107" s="25">
        <v>18</v>
      </c>
      <c r="I107" s="1">
        <v>17</v>
      </c>
      <c r="J107" s="26">
        <v>20</v>
      </c>
      <c r="K107" s="27">
        <f t="shared" si="3"/>
        <v>2637.71</v>
      </c>
      <c r="L107" s="27">
        <v>2637.71</v>
      </c>
      <c r="M107" s="27"/>
      <c r="N107" s="1">
        <v>19</v>
      </c>
      <c r="O107" s="27">
        <f t="shared" si="4"/>
        <v>81455.08</v>
      </c>
      <c r="P107" s="27">
        <v>81455.08</v>
      </c>
      <c r="Q107" s="27"/>
      <c r="R107" s="20"/>
    </row>
    <row r="108" spans="1:38" s="28" customFormat="1" ht="13.15" customHeight="1">
      <c r="A108" s="24"/>
      <c r="B108" s="23" t="s">
        <v>75</v>
      </c>
      <c r="C108" s="24" t="s">
        <v>18</v>
      </c>
      <c r="D108" s="23"/>
      <c r="E108" s="23" t="s">
        <v>76</v>
      </c>
      <c r="F108" s="23" t="s">
        <v>335</v>
      </c>
      <c r="G108" s="23" t="s">
        <v>131</v>
      </c>
      <c r="H108" s="25">
        <v>25</v>
      </c>
      <c r="I108" s="1">
        <v>4</v>
      </c>
      <c r="J108" s="26">
        <v>4</v>
      </c>
      <c r="K108" s="27">
        <f t="shared" si="3"/>
        <v>0</v>
      </c>
      <c r="L108" s="27"/>
      <c r="M108" s="27"/>
      <c r="N108" s="1">
        <v>17</v>
      </c>
      <c r="O108" s="27">
        <f t="shared" si="4"/>
        <v>10660.1</v>
      </c>
      <c r="P108" s="27">
        <v>10660.1</v>
      </c>
      <c r="Q108" s="27"/>
      <c r="R108" s="31"/>
    </row>
    <row r="109" spans="1:38" s="28" customFormat="1" ht="15" customHeight="1">
      <c r="A109" s="24"/>
      <c r="B109" s="23" t="s">
        <v>140</v>
      </c>
      <c r="C109" s="24" t="s">
        <v>18</v>
      </c>
      <c r="D109" s="23"/>
      <c r="E109" s="23" t="s">
        <v>76</v>
      </c>
      <c r="F109" s="23" t="s">
        <v>377</v>
      </c>
      <c r="G109" s="23" t="s">
        <v>136</v>
      </c>
      <c r="H109" s="25">
        <v>28</v>
      </c>
      <c r="I109" s="2">
        <v>8</v>
      </c>
      <c r="J109" s="26">
        <v>8</v>
      </c>
      <c r="K109" s="27">
        <f t="shared" si="3"/>
        <v>0</v>
      </c>
      <c r="L109" s="27"/>
      <c r="M109" s="27"/>
      <c r="N109" s="2">
        <v>29</v>
      </c>
      <c r="O109" s="27">
        <f t="shared" si="4"/>
        <v>76617.47</v>
      </c>
      <c r="P109" s="35">
        <v>76617.47</v>
      </c>
      <c r="Q109" s="27"/>
      <c r="R109" s="31"/>
    </row>
    <row r="110" spans="1:38" s="17" customFormat="1" ht="15" customHeight="1">
      <c r="A110" s="24">
        <v>55</v>
      </c>
      <c r="B110" s="23" t="s">
        <v>267</v>
      </c>
      <c r="C110" s="24" t="s">
        <v>18</v>
      </c>
      <c r="D110" s="23"/>
      <c r="E110" s="23" t="s">
        <v>19</v>
      </c>
      <c r="F110" s="23" t="s">
        <v>268</v>
      </c>
      <c r="G110" s="23" t="s">
        <v>142</v>
      </c>
      <c r="H110" s="25">
        <v>0</v>
      </c>
      <c r="I110" s="2"/>
      <c r="J110" s="26"/>
      <c r="K110" s="27">
        <f t="shared" si="3"/>
        <v>0</v>
      </c>
      <c r="L110" s="27"/>
      <c r="M110" s="27"/>
      <c r="N110" s="2"/>
      <c r="O110" s="27">
        <f t="shared" si="4"/>
        <v>0</v>
      </c>
      <c r="P110" s="27"/>
      <c r="Q110" s="27"/>
      <c r="R110" s="20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:38" s="28" customFormat="1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336</v>
      </c>
      <c r="G111" s="23" t="s">
        <v>131</v>
      </c>
      <c r="H111" s="25">
        <v>8</v>
      </c>
      <c r="I111" s="2">
        <v>1</v>
      </c>
      <c r="J111" s="26">
        <v>1</v>
      </c>
      <c r="K111" s="27">
        <f t="shared" si="3"/>
        <v>0</v>
      </c>
      <c r="L111" s="27"/>
      <c r="M111" s="27"/>
      <c r="N111" s="2">
        <v>5</v>
      </c>
      <c r="O111" s="27">
        <f t="shared" si="4"/>
        <v>2937.3</v>
      </c>
      <c r="P111" s="27">
        <v>2937.3</v>
      </c>
      <c r="Q111" s="27"/>
      <c r="R111" s="31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455</v>
      </c>
      <c r="G112" s="23" t="s">
        <v>122</v>
      </c>
      <c r="H112" s="25">
        <v>9</v>
      </c>
      <c r="I112" s="2">
        <v>1</v>
      </c>
      <c r="J112" s="26">
        <v>1</v>
      </c>
      <c r="K112" s="27">
        <f t="shared" si="3"/>
        <v>2290.6</v>
      </c>
      <c r="L112" s="27">
        <v>2290.6</v>
      </c>
      <c r="M112" s="27"/>
      <c r="N112" s="2">
        <v>3</v>
      </c>
      <c r="O112" s="27">
        <f t="shared" si="4"/>
        <v>8545.7000000000007</v>
      </c>
      <c r="P112" s="27">
        <v>8545.7000000000007</v>
      </c>
      <c r="Q112" s="27"/>
      <c r="R112" s="31"/>
    </row>
    <row r="113" spans="1:38" ht="15" customHeight="1">
      <c r="A113" s="24">
        <v>56</v>
      </c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417</v>
      </c>
      <c r="G113" s="23" t="s">
        <v>142</v>
      </c>
      <c r="H113" s="25">
        <v>25</v>
      </c>
      <c r="I113" s="2">
        <v>16</v>
      </c>
      <c r="J113" s="26">
        <v>17</v>
      </c>
      <c r="K113" s="27">
        <f t="shared" si="3"/>
        <v>4342.45</v>
      </c>
      <c r="L113" s="27">
        <v>4342.45</v>
      </c>
      <c r="M113" s="27"/>
      <c r="N113" s="2"/>
      <c r="O113" s="27">
        <f t="shared" si="4"/>
        <v>0</v>
      </c>
      <c r="P113" s="27"/>
      <c r="Q113" s="27"/>
      <c r="R113" s="20"/>
    </row>
    <row r="114" spans="1:38" s="28" customFormat="1" ht="15" customHeight="1">
      <c r="A114" s="24"/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340</v>
      </c>
      <c r="G114" s="23" t="s">
        <v>131</v>
      </c>
      <c r="H114" s="25">
        <v>17</v>
      </c>
      <c r="I114" s="2">
        <v>3</v>
      </c>
      <c r="J114" s="26">
        <v>3</v>
      </c>
      <c r="K114" s="27">
        <f t="shared" si="3"/>
        <v>0</v>
      </c>
      <c r="L114" s="27"/>
      <c r="M114" s="27"/>
      <c r="N114" s="2"/>
      <c r="O114" s="27">
        <f t="shared" si="4"/>
        <v>0</v>
      </c>
      <c r="P114" s="27"/>
      <c r="Q114" s="27"/>
      <c r="R114" s="31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307</v>
      </c>
      <c r="E115" s="23" t="s">
        <v>19</v>
      </c>
      <c r="F115" s="23" t="s">
        <v>350</v>
      </c>
      <c r="G115" s="23" t="s">
        <v>122</v>
      </c>
      <c r="H115" s="25">
        <v>12</v>
      </c>
      <c r="I115" s="2">
        <v>3</v>
      </c>
      <c r="J115" s="26">
        <v>3</v>
      </c>
      <c r="K115" s="27">
        <f t="shared" si="3"/>
        <v>528.6</v>
      </c>
      <c r="L115" s="27">
        <v>528.6</v>
      </c>
      <c r="M115" s="27"/>
      <c r="N115" s="2"/>
      <c r="O115" s="27">
        <f t="shared" si="4"/>
        <v>0</v>
      </c>
      <c r="P115" s="27"/>
      <c r="Q115" s="27"/>
      <c r="R115" s="31"/>
    </row>
    <row r="116" spans="1:38" ht="30.75" customHeight="1">
      <c r="A116" s="24">
        <v>57</v>
      </c>
      <c r="B116" s="23" t="s">
        <v>78</v>
      </c>
      <c r="C116" s="24" t="s">
        <v>18</v>
      </c>
      <c r="D116" s="23" t="s">
        <v>276</v>
      </c>
      <c r="E116" s="23" t="s">
        <v>19</v>
      </c>
      <c r="F116" s="23" t="s">
        <v>418</v>
      </c>
      <c r="G116" s="23" t="s">
        <v>142</v>
      </c>
      <c r="H116" s="25">
        <v>27</v>
      </c>
      <c r="I116" s="1">
        <v>24</v>
      </c>
      <c r="J116" s="26">
        <v>24</v>
      </c>
      <c r="K116" s="27">
        <f t="shared" si="3"/>
        <v>17351.93</v>
      </c>
      <c r="L116" s="27">
        <v>17351.93</v>
      </c>
      <c r="M116" s="27"/>
      <c r="N116" s="1">
        <v>10</v>
      </c>
      <c r="O116" s="27">
        <f t="shared" si="4"/>
        <v>25029.530000000002</v>
      </c>
      <c r="P116" s="27">
        <v>25029.530000000002</v>
      </c>
      <c r="Q116" s="27"/>
      <c r="R116" s="20"/>
    </row>
    <row r="117" spans="1:38" s="28" customFormat="1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131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38" ht="15" customHeight="1">
      <c r="A119" s="24">
        <v>58</v>
      </c>
      <c r="B119" s="23" t="s">
        <v>79</v>
      </c>
      <c r="C119" s="24" t="s">
        <v>18</v>
      </c>
      <c r="D119" s="23"/>
      <c r="E119" s="23" t="s">
        <v>19</v>
      </c>
      <c r="F119" s="23"/>
      <c r="G119" s="23" t="s">
        <v>142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80</v>
      </c>
      <c r="C120" s="24" t="s">
        <v>18</v>
      </c>
      <c r="D120" s="23"/>
      <c r="E120" s="23" t="s">
        <v>19</v>
      </c>
      <c r="F120" s="23" t="s">
        <v>419</v>
      </c>
      <c r="G120" s="23" t="s">
        <v>142</v>
      </c>
      <c r="H120" s="25">
        <v>25</v>
      </c>
      <c r="I120" s="1">
        <v>21</v>
      </c>
      <c r="J120" s="26">
        <v>27</v>
      </c>
      <c r="K120" s="27">
        <f t="shared" si="3"/>
        <v>13736.86</v>
      </c>
      <c r="L120" s="27">
        <v>13736.86</v>
      </c>
      <c r="M120" s="27"/>
      <c r="N120" s="1">
        <v>12</v>
      </c>
      <c r="O120" s="27">
        <f t="shared" si="4"/>
        <v>34241.86</v>
      </c>
      <c r="P120" s="27">
        <v>34241.86</v>
      </c>
      <c r="Q120" s="27"/>
      <c r="R120" s="20"/>
    </row>
    <row r="121" spans="1:38" s="28" customFormat="1" ht="15" customHeight="1">
      <c r="A121" s="24"/>
      <c r="B121" s="23" t="s">
        <v>80</v>
      </c>
      <c r="C121" s="24" t="s">
        <v>18</v>
      </c>
      <c r="D121" s="23"/>
      <c r="E121" s="23" t="s">
        <v>19</v>
      </c>
      <c r="F121" s="23" t="s">
        <v>120</v>
      </c>
      <c r="G121" s="23" t="s">
        <v>122</v>
      </c>
      <c r="H121" s="25">
        <v>0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38" s="7" customFormat="1" ht="15" customHeight="1">
      <c r="A122" s="24">
        <v>60</v>
      </c>
      <c r="B122" s="23" t="s">
        <v>372</v>
      </c>
      <c r="C122" s="24" t="s">
        <v>18</v>
      </c>
      <c r="D122" s="23"/>
      <c r="E122" s="23" t="s">
        <v>19</v>
      </c>
      <c r="F122" s="23" t="s">
        <v>420</v>
      </c>
      <c r="G122" s="23" t="s">
        <v>142</v>
      </c>
      <c r="H122" s="25">
        <v>23</v>
      </c>
      <c r="I122" s="1">
        <v>3</v>
      </c>
      <c r="J122" s="26">
        <v>3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28" customFormat="1" ht="15" customHeight="1">
      <c r="A123" s="24">
        <v>61</v>
      </c>
      <c r="B123" s="23" t="s">
        <v>313</v>
      </c>
      <c r="C123" s="24" t="s">
        <v>18</v>
      </c>
      <c r="D123" s="23"/>
      <c r="E123" s="23"/>
      <c r="F123" s="23" t="s">
        <v>342</v>
      </c>
      <c r="G123" s="23" t="s">
        <v>131</v>
      </c>
      <c r="H123" s="25">
        <v>1</v>
      </c>
      <c r="I123" s="1"/>
      <c r="J123" s="26"/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31"/>
    </row>
    <row r="124" spans="1:38" s="28" customFormat="1" ht="15" customHeight="1">
      <c r="A124" s="24"/>
      <c r="B124" s="23" t="s">
        <v>313</v>
      </c>
      <c r="C124" s="24" t="s">
        <v>18</v>
      </c>
      <c r="D124" s="23"/>
      <c r="E124" s="23" t="s">
        <v>41</v>
      </c>
      <c r="F124" s="23" t="s">
        <v>366</v>
      </c>
      <c r="G124" s="23" t="s">
        <v>136</v>
      </c>
      <c r="H124" s="25">
        <v>27</v>
      </c>
      <c r="I124" s="1">
        <v>6</v>
      </c>
      <c r="J124" s="26">
        <v>6</v>
      </c>
      <c r="K124" s="27">
        <f t="shared" si="3"/>
        <v>13838.85</v>
      </c>
      <c r="L124" s="27">
        <v>13838.85</v>
      </c>
      <c r="M124" s="27"/>
      <c r="N124" s="1"/>
      <c r="O124" s="27">
        <f t="shared" si="4"/>
        <v>0</v>
      </c>
      <c r="P124" s="27"/>
      <c r="Q124" s="27"/>
      <c r="R124" s="31"/>
    </row>
    <row r="125" spans="1:38" s="7" customFormat="1" ht="15" customHeight="1">
      <c r="A125" s="24">
        <v>62</v>
      </c>
      <c r="B125" s="23" t="s">
        <v>373</v>
      </c>
      <c r="C125" s="24" t="s">
        <v>52</v>
      </c>
      <c r="D125" s="23" t="s">
        <v>378</v>
      </c>
      <c r="E125" s="23" t="s">
        <v>104</v>
      </c>
      <c r="F125" s="23" t="s">
        <v>422</v>
      </c>
      <c r="G125" s="23" t="s">
        <v>142</v>
      </c>
      <c r="H125" s="25">
        <v>10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5" customHeight="1">
      <c r="A126" s="24">
        <v>63</v>
      </c>
      <c r="B126" s="23" t="s">
        <v>81</v>
      </c>
      <c r="C126" s="24" t="s">
        <v>18</v>
      </c>
      <c r="D126" s="23"/>
      <c r="E126" s="23" t="s">
        <v>19</v>
      </c>
      <c r="F126" s="23" t="s">
        <v>421</v>
      </c>
      <c r="G126" s="23" t="s">
        <v>142</v>
      </c>
      <c r="H126" s="25">
        <v>15</v>
      </c>
      <c r="I126" s="1">
        <v>6</v>
      </c>
      <c r="J126" s="26">
        <v>6</v>
      </c>
      <c r="K126" s="27">
        <f t="shared" si="3"/>
        <v>0</v>
      </c>
      <c r="L126" s="27"/>
      <c r="M126" s="27"/>
      <c r="N126" s="1">
        <v>5</v>
      </c>
      <c r="O126" s="27">
        <f t="shared" si="4"/>
        <v>7736.87</v>
      </c>
      <c r="P126" s="27">
        <v>7736.87</v>
      </c>
      <c r="Q126" s="27"/>
      <c r="R126" s="20"/>
    </row>
    <row r="127" spans="1:38" s="28" customFormat="1" ht="15" customHeight="1">
      <c r="A127" s="24"/>
      <c r="B127" s="23" t="s">
        <v>81</v>
      </c>
      <c r="C127" s="24" t="s">
        <v>18</v>
      </c>
      <c r="D127" s="23"/>
      <c r="E127" s="23" t="s">
        <v>19</v>
      </c>
      <c r="F127" s="23" t="s">
        <v>453</v>
      </c>
      <c r="G127" s="23" t="s">
        <v>122</v>
      </c>
      <c r="H127" s="25">
        <v>5</v>
      </c>
      <c r="I127" s="1"/>
      <c r="J127" s="26"/>
      <c r="K127" s="27">
        <f t="shared" si="3"/>
        <v>0</v>
      </c>
      <c r="L127" s="27"/>
      <c r="M127" s="27"/>
      <c r="N127" s="1">
        <v>1</v>
      </c>
      <c r="O127" s="27">
        <f t="shared" si="4"/>
        <v>1850.1</v>
      </c>
      <c r="P127" s="27">
        <v>1850.1</v>
      </c>
      <c r="Q127" s="27"/>
      <c r="R127" s="31"/>
    </row>
    <row r="128" spans="1:38" s="7" customFormat="1" ht="15" customHeight="1">
      <c r="A128" s="24">
        <v>64</v>
      </c>
      <c r="B128" s="23" t="s">
        <v>82</v>
      </c>
      <c r="C128" s="24" t="s">
        <v>18</v>
      </c>
      <c r="D128" s="23"/>
      <c r="E128" s="23" t="s">
        <v>19</v>
      </c>
      <c r="F128" s="23" t="s">
        <v>423</v>
      </c>
      <c r="G128" s="23" t="s">
        <v>142</v>
      </c>
      <c r="H128" s="25">
        <v>24</v>
      </c>
      <c r="I128" s="1">
        <v>21</v>
      </c>
      <c r="J128" s="26">
        <v>21</v>
      </c>
      <c r="K128" s="27">
        <f t="shared" si="3"/>
        <v>4799.6900000000005</v>
      </c>
      <c r="L128" s="27">
        <v>4799.6900000000005</v>
      </c>
      <c r="M128" s="27"/>
      <c r="N128" s="1">
        <v>10</v>
      </c>
      <c r="O128" s="27">
        <f t="shared" si="4"/>
        <v>23841.8</v>
      </c>
      <c r="P128" s="27">
        <v>23841.8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s="28" customFormat="1" ht="15" customHeight="1">
      <c r="A129" s="24"/>
      <c r="B129" s="23" t="s">
        <v>82</v>
      </c>
      <c r="C129" s="24" t="s">
        <v>18</v>
      </c>
      <c r="D129" s="23"/>
      <c r="E129" s="23" t="s">
        <v>19</v>
      </c>
      <c r="F129" s="23" t="s">
        <v>481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>
        <v>3</v>
      </c>
      <c r="O129" s="27">
        <f t="shared" si="4"/>
        <v>528.6</v>
      </c>
      <c r="P129" s="27">
        <v>528.6</v>
      </c>
      <c r="Q129" s="27"/>
      <c r="R129" s="31"/>
    </row>
    <row r="130" spans="1:38" ht="14.45" customHeight="1">
      <c r="A130" s="24">
        <v>65</v>
      </c>
      <c r="B130" s="23" t="s">
        <v>83</v>
      </c>
      <c r="C130" s="24" t="s">
        <v>30</v>
      </c>
      <c r="D130" s="23" t="s">
        <v>184</v>
      </c>
      <c r="E130" s="23" t="s">
        <v>19</v>
      </c>
      <c r="F130" s="23" t="s">
        <v>424</v>
      </c>
      <c r="G130" s="23" t="s">
        <v>142</v>
      </c>
      <c r="H130" s="25">
        <v>51</v>
      </c>
      <c r="I130" s="1">
        <v>41</v>
      </c>
      <c r="J130" s="26">
        <v>41</v>
      </c>
      <c r="K130" s="27">
        <f t="shared" si="3"/>
        <v>14837.82</v>
      </c>
      <c r="L130" s="27">
        <v>14837.82</v>
      </c>
      <c r="M130" s="27"/>
      <c r="N130" s="1">
        <v>13</v>
      </c>
      <c r="O130" s="27">
        <f t="shared" si="4"/>
        <v>18488.010000000002</v>
      </c>
      <c r="P130" s="27">
        <v>18488.010000000002</v>
      </c>
      <c r="Q130" s="27"/>
      <c r="R130" s="20"/>
    </row>
    <row r="131" spans="1:38" s="28" customFormat="1" ht="14.45" customHeight="1">
      <c r="A131" s="24">
        <v>66</v>
      </c>
      <c r="B131" s="23" t="s">
        <v>303</v>
      </c>
      <c r="C131" s="24" t="s">
        <v>18</v>
      </c>
      <c r="D131" s="23"/>
      <c r="E131" s="23" t="s">
        <v>304</v>
      </c>
      <c r="F131" s="23" t="s">
        <v>473</v>
      </c>
      <c r="G131" s="23" t="s">
        <v>131</v>
      </c>
      <c r="H131" s="25">
        <v>13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38" s="7" customFormat="1" ht="15" customHeight="1">
      <c r="A132" s="24">
        <v>67</v>
      </c>
      <c r="B132" s="23" t="s">
        <v>84</v>
      </c>
      <c r="C132" s="24" t="s">
        <v>18</v>
      </c>
      <c r="D132" s="23"/>
      <c r="E132" s="23" t="s">
        <v>19</v>
      </c>
      <c r="F132" s="23" t="s">
        <v>425</v>
      </c>
      <c r="G132" s="23" t="s">
        <v>142</v>
      </c>
      <c r="H132" s="25">
        <v>24</v>
      </c>
      <c r="I132" s="1">
        <v>19</v>
      </c>
      <c r="J132" s="26">
        <v>22</v>
      </c>
      <c r="K132" s="27">
        <f t="shared" si="3"/>
        <v>15295.92</v>
      </c>
      <c r="L132" s="27">
        <v>15295.92</v>
      </c>
      <c r="M132" s="27"/>
      <c r="N132" s="1">
        <v>13</v>
      </c>
      <c r="O132" s="27">
        <f t="shared" si="4"/>
        <v>19788.560000000001</v>
      </c>
      <c r="P132" s="27">
        <v>19788.560000000001</v>
      </c>
      <c r="Q132" s="27"/>
      <c r="R132" s="20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 spans="1:38" s="28" customFormat="1" ht="15" customHeight="1">
      <c r="A133" s="24"/>
      <c r="B133" s="23" t="s">
        <v>84</v>
      </c>
      <c r="C133" s="24" t="s">
        <v>18</v>
      </c>
      <c r="D133" s="23"/>
      <c r="E133" s="23" t="s">
        <v>19</v>
      </c>
      <c r="F133" s="37" t="s">
        <v>468</v>
      </c>
      <c r="G133" s="23" t="s">
        <v>122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31"/>
    </row>
    <row r="134" spans="1:38" ht="15" customHeight="1">
      <c r="A134" s="24">
        <v>68</v>
      </c>
      <c r="B134" s="23" t="s">
        <v>85</v>
      </c>
      <c r="C134" s="24" t="s">
        <v>18</v>
      </c>
      <c r="D134" s="23"/>
      <c r="E134" s="23" t="s">
        <v>77</v>
      </c>
      <c r="F134" s="23" t="s">
        <v>426</v>
      </c>
      <c r="G134" s="23" t="s">
        <v>142</v>
      </c>
      <c r="H134" s="25">
        <v>24</v>
      </c>
      <c r="I134" s="1">
        <v>17</v>
      </c>
      <c r="J134" s="26">
        <v>21</v>
      </c>
      <c r="K134" s="27">
        <f t="shared" si="3"/>
        <v>0</v>
      </c>
      <c r="L134" s="27"/>
      <c r="M134" s="27"/>
      <c r="N134" s="1">
        <v>21</v>
      </c>
      <c r="O134" s="27">
        <f t="shared" si="4"/>
        <v>29239.35</v>
      </c>
      <c r="P134" s="27">
        <v>29239.35</v>
      </c>
      <c r="Q134" s="27"/>
      <c r="R134" s="20"/>
    </row>
    <row r="135" spans="1:38" s="28" customFormat="1" ht="15" customHeight="1">
      <c r="A135" s="24"/>
      <c r="B135" s="23" t="s">
        <v>85</v>
      </c>
      <c r="C135" s="24" t="s">
        <v>18</v>
      </c>
      <c r="D135" s="23"/>
      <c r="E135" s="23" t="s">
        <v>301</v>
      </c>
      <c r="F135" s="23" t="s">
        <v>337</v>
      </c>
      <c r="G135" s="23" t="s">
        <v>131</v>
      </c>
      <c r="H135" s="25">
        <v>42</v>
      </c>
      <c r="I135" s="1">
        <v>13</v>
      </c>
      <c r="J135" s="26">
        <v>13</v>
      </c>
      <c r="K135" s="27">
        <f t="shared" si="3"/>
        <v>2466.8000000000002</v>
      </c>
      <c r="L135" s="27">
        <v>2466.8000000000002</v>
      </c>
      <c r="M135" s="27"/>
      <c r="N135" s="1">
        <v>19</v>
      </c>
      <c r="O135" s="27">
        <f t="shared" si="4"/>
        <v>5330.06</v>
      </c>
      <c r="P135" s="27">
        <v>5330.06</v>
      </c>
      <c r="Q135" s="27"/>
      <c r="R135" s="31"/>
    </row>
    <row r="136" spans="1:38" ht="15" customHeight="1">
      <c r="A136" s="24">
        <v>69</v>
      </c>
      <c r="B136" s="23" t="s">
        <v>86</v>
      </c>
      <c r="C136" s="24" t="s">
        <v>18</v>
      </c>
      <c r="D136" s="23"/>
      <c r="E136" s="23" t="s">
        <v>77</v>
      </c>
      <c r="F136" s="23" t="s">
        <v>427</v>
      </c>
      <c r="G136" s="23" t="s">
        <v>142</v>
      </c>
      <c r="H136" s="25">
        <v>26</v>
      </c>
      <c r="I136" s="1">
        <v>13</v>
      </c>
      <c r="J136" s="26">
        <v>13</v>
      </c>
      <c r="K136" s="27">
        <f t="shared" si="3"/>
        <v>0</v>
      </c>
      <c r="L136" s="27"/>
      <c r="M136" s="27"/>
      <c r="N136" s="1">
        <v>12</v>
      </c>
      <c r="O136" s="27">
        <f t="shared" si="4"/>
        <v>22081.42</v>
      </c>
      <c r="P136" s="27">
        <v>22081.42</v>
      </c>
      <c r="Q136" s="27"/>
      <c r="R136" s="20"/>
    </row>
    <row r="137" spans="1:38" s="28" customFormat="1" ht="15" customHeight="1">
      <c r="A137" s="24"/>
      <c r="B137" s="23" t="s">
        <v>86</v>
      </c>
      <c r="C137" s="24" t="s">
        <v>18</v>
      </c>
      <c r="D137" s="23"/>
      <c r="E137" s="23" t="s">
        <v>301</v>
      </c>
      <c r="F137" s="23" t="s">
        <v>338</v>
      </c>
      <c r="G137" s="23" t="s">
        <v>131</v>
      </c>
      <c r="H137" s="25">
        <v>6</v>
      </c>
      <c r="I137" s="1">
        <v>1</v>
      </c>
      <c r="J137" s="26">
        <v>1</v>
      </c>
      <c r="K137" s="27">
        <f t="shared" si="3"/>
        <v>0</v>
      </c>
      <c r="L137" s="27"/>
      <c r="M137" s="27"/>
      <c r="N137" s="1">
        <v>4</v>
      </c>
      <c r="O137" s="27">
        <f t="shared" si="4"/>
        <v>5030.51</v>
      </c>
      <c r="P137" s="27">
        <v>5030.51</v>
      </c>
      <c r="Q137" s="27"/>
      <c r="R137" s="31"/>
    </row>
    <row r="138" spans="1:38" ht="28.9" customHeight="1">
      <c r="A138" s="29">
        <v>70</v>
      </c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292</v>
      </c>
      <c r="G138" s="30" t="s">
        <v>142</v>
      </c>
      <c r="H138" s="25">
        <v>0</v>
      </c>
      <c r="I138" s="1"/>
      <c r="J138" s="26"/>
      <c r="K138" s="27">
        <f t="shared" si="3"/>
        <v>0</v>
      </c>
      <c r="L138" s="27"/>
      <c r="M138" s="27"/>
      <c r="N138" s="1">
        <v>1</v>
      </c>
      <c r="O138" s="27">
        <f t="shared" si="4"/>
        <v>1564.44</v>
      </c>
      <c r="P138" s="27">
        <v>1564.44</v>
      </c>
      <c r="Q138" s="27"/>
      <c r="R138" s="20"/>
    </row>
    <row r="139" spans="1:38" s="28" customFormat="1" ht="29.25" customHeight="1">
      <c r="A139" s="29"/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376</v>
      </c>
      <c r="G139" s="30" t="s">
        <v>122</v>
      </c>
      <c r="H139" s="25">
        <v>27</v>
      </c>
      <c r="I139" s="1">
        <v>8</v>
      </c>
      <c r="J139" s="44">
        <v>8</v>
      </c>
      <c r="K139" s="27">
        <f t="shared" ref="K139:K202" si="5">L139+M139</f>
        <v>0</v>
      </c>
      <c r="L139" s="27"/>
      <c r="M139" s="27"/>
      <c r="N139" s="1">
        <v>5</v>
      </c>
      <c r="O139" s="27">
        <f t="shared" ref="O139:O202" si="6">P139+Q139</f>
        <v>6677.98</v>
      </c>
      <c r="P139" s="27">
        <v>6677.98</v>
      </c>
      <c r="Q139" s="27"/>
      <c r="R139" s="31"/>
    </row>
    <row r="140" spans="1:38" ht="26.25" customHeight="1">
      <c r="A140" s="24">
        <v>71</v>
      </c>
      <c r="B140" s="23" t="s">
        <v>89</v>
      </c>
      <c r="C140" s="24" t="s">
        <v>18</v>
      </c>
      <c r="D140" s="23"/>
      <c r="E140" s="23" t="s">
        <v>19</v>
      </c>
      <c r="F140" s="23" t="s">
        <v>428</v>
      </c>
      <c r="G140" s="23" t="s">
        <v>142</v>
      </c>
      <c r="H140" s="25">
        <v>24</v>
      </c>
      <c r="I140" s="1">
        <v>14</v>
      </c>
      <c r="J140" s="26">
        <v>14</v>
      </c>
      <c r="K140" s="27">
        <f t="shared" si="5"/>
        <v>3575.98</v>
      </c>
      <c r="L140" s="27">
        <v>3575.98</v>
      </c>
      <c r="M140" s="27"/>
      <c r="N140" s="1">
        <v>9</v>
      </c>
      <c r="O140" s="27">
        <f t="shared" si="6"/>
        <v>23299.57</v>
      </c>
      <c r="P140" s="27">
        <v>23299.57</v>
      </c>
      <c r="Q140" s="27"/>
      <c r="R140" s="20"/>
    </row>
    <row r="141" spans="1:38" s="28" customFormat="1" ht="15" customHeight="1">
      <c r="A141" s="24"/>
      <c r="B141" s="23" t="s">
        <v>89</v>
      </c>
      <c r="C141" s="24" t="s">
        <v>18</v>
      </c>
      <c r="D141" s="23"/>
      <c r="E141" s="23" t="s">
        <v>19</v>
      </c>
      <c r="F141" s="23" t="s">
        <v>454</v>
      </c>
      <c r="G141" s="23" t="s">
        <v>122</v>
      </c>
      <c r="H141" s="25">
        <v>17</v>
      </c>
      <c r="I141" s="1">
        <v>1</v>
      </c>
      <c r="J141" s="26">
        <v>1</v>
      </c>
      <c r="K141" s="27">
        <f t="shared" si="5"/>
        <v>0</v>
      </c>
      <c r="L141" s="27"/>
      <c r="M141" s="27"/>
      <c r="N141" s="1">
        <v>8</v>
      </c>
      <c r="O141" s="27">
        <f t="shared" si="6"/>
        <v>13215</v>
      </c>
      <c r="P141" s="36">
        <v>13215</v>
      </c>
      <c r="Q141" s="27"/>
      <c r="R141" s="31"/>
    </row>
    <row r="142" spans="1:38" ht="15" customHeight="1">
      <c r="A142" s="24">
        <v>72</v>
      </c>
      <c r="B142" s="23" t="s">
        <v>90</v>
      </c>
      <c r="C142" s="24" t="s">
        <v>18</v>
      </c>
      <c r="D142" s="23"/>
      <c r="E142" s="23" t="s">
        <v>19</v>
      </c>
      <c r="F142" s="23" t="s">
        <v>429</v>
      </c>
      <c r="G142" s="23" t="s">
        <v>142</v>
      </c>
      <c r="H142" s="25">
        <v>14</v>
      </c>
      <c r="I142" s="1">
        <v>13</v>
      </c>
      <c r="J142" s="26">
        <v>13</v>
      </c>
      <c r="K142" s="27">
        <f t="shared" si="5"/>
        <v>2471.02</v>
      </c>
      <c r="L142" s="27">
        <v>2471.02</v>
      </c>
      <c r="M142" s="27"/>
      <c r="N142" s="1">
        <v>5</v>
      </c>
      <c r="O142" s="27">
        <f t="shared" si="6"/>
        <v>10093.58</v>
      </c>
      <c r="P142" s="27">
        <v>10093.58</v>
      </c>
      <c r="Q142" s="27"/>
      <c r="R142" s="20"/>
    </row>
    <row r="143" spans="1:38" s="7" customFormat="1" ht="15" customHeight="1">
      <c r="A143" s="24">
        <v>73</v>
      </c>
      <c r="B143" s="23" t="s">
        <v>91</v>
      </c>
      <c r="C143" s="24" t="s">
        <v>18</v>
      </c>
      <c r="D143" s="23"/>
      <c r="E143" s="23" t="s">
        <v>92</v>
      </c>
      <c r="F143" s="23" t="s">
        <v>470</v>
      </c>
      <c r="G143" s="23" t="s">
        <v>142</v>
      </c>
      <c r="H143" s="25">
        <v>16</v>
      </c>
      <c r="I143" s="1">
        <v>1</v>
      </c>
      <c r="J143" s="26">
        <v>1</v>
      </c>
      <c r="K143" s="27">
        <f t="shared" si="5"/>
        <v>0</v>
      </c>
      <c r="L143" s="27"/>
      <c r="M143" s="27"/>
      <c r="N143" s="1">
        <v>17</v>
      </c>
      <c r="O143" s="27">
        <f t="shared" si="6"/>
        <v>35132.880000000005</v>
      </c>
      <c r="P143" s="27">
        <v>35132.880000000005</v>
      </c>
      <c r="Q143" s="27"/>
      <c r="R143" s="20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 spans="1:38" s="28" customFormat="1" ht="15" customHeight="1">
      <c r="A144" s="24"/>
      <c r="B144" s="23" t="s">
        <v>91</v>
      </c>
      <c r="C144" s="24" t="s">
        <v>18</v>
      </c>
      <c r="D144" s="23"/>
      <c r="E144" s="23" t="s">
        <v>92</v>
      </c>
      <c r="F144" s="23" t="s">
        <v>479</v>
      </c>
      <c r="G144" s="23" t="s">
        <v>136</v>
      </c>
      <c r="H144" s="25">
        <v>3</v>
      </c>
      <c r="I144" s="2"/>
      <c r="J144" s="26"/>
      <c r="K144" s="27">
        <f t="shared" si="5"/>
        <v>0</v>
      </c>
      <c r="L144" s="27"/>
      <c r="M144" s="27"/>
      <c r="N144" s="2">
        <v>5</v>
      </c>
      <c r="O144" s="27">
        <f t="shared" si="6"/>
        <v>1145.3</v>
      </c>
      <c r="P144" s="27">
        <v>1145.3</v>
      </c>
      <c r="Q144" s="27"/>
      <c r="R144" s="31"/>
    </row>
    <row r="145" spans="1:18" ht="15" customHeight="1">
      <c r="A145" s="24">
        <v>74</v>
      </c>
      <c r="B145" s="23" t="s">
        <v>93</v>
      </c>
      <c r="C145" s="24" t="s">
        <v>18</v>
      </c>
      <c r="D145" s="23"/>
      <c r="E145" s="23" t="s">
        <v>19</v>
      </c>
      <c r="F145" s="23" t="s">
        <v>123</v>
      </c>
      <c r="G145" s="23" t="s">
        <v>142</v>
      </c>
      <c r="H145" s="25">
        <v>0</v>
      </c>
      <c r="I145" s="2"/>
      <c r="J145" s="26"/>
      <c r="K145" s="27">
        <f t="shared" si="5"/>
        <v>0</v>
      </c>
      <c r="L145" s="27"/>
      <c r="M145" s="27"/>
      <c r="N145" s="2">
        <v>1</v>
      </c>
      <c r="O145" s="27">
        <f t="shared" si="6"/>
        <v>4017.3599999999997</v>
      </c>
      <c r="P145" s="27">
        <v>4017.3599999999997</v>
      </c>
      <c r="Q145" s="27"/>
      <c r="R145" s="20"/>
    </row>
    <row r="146" spans="1:18" s="28" customFormat="1" ht="15" customHeight="1">
      <c r="A146" s="24"/>
      <c r="B146" s="23" t="s">
        <v>93</v>
      </c>
      <c r="C146" s="24" t="s">
        <v>18</v>
      </c>
      <c r="D146" s="23"/>
      <c r="E146" s="23" t="s">
        <v>19</v>
      </c>
      <c r="F146" s="23" t="s">
        <v>120</v>
      </c>
      <c r="G146" s="23" t="s">
        <v>131</v>
      </c>
      <c r="H146" s="25">
        <v>0</v>
      </c>
      <c r="I146" s="1"/>
      <c r="J146" s="26"/>
      <c r="K146" s="27">
        <f t="shared" si="5"/>
        <v>0</v>
      </c>
      <c r="L146" s="27"/>
      <c r="M146" s="27"/>
      <c r="N146" s="1">
        <v>1</v>
      </c>
      <c r="O146" s="27">
        <f t="shared" si="6"/>
        <v>1797.24</v>
      </c>
      <c r="P146" s="27">
        <v>1797.24</v>
      </c>
      <c r="Q146" s="27"/>
      <c r="R146" s="31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/>
      <c r="F147" s="23" t="s">
        <v>261</v>
      </c>
      <c r="G147" s="23" t="s">
        <v>122</v>
      </c>
      <c r="H147" s="25">
        <v>9</v>
      </c>
      <c r="I147" s="1">
        <v>3</v>
      </c>
      <c r="J147" s="26">
        <v>3</v>
      </c>
      <c r="K147" s="27">
        <f t="shared" si="5"/>
        <v>0</v>
      </c>
      <c r="L147" s="27"/>
      <c r="M147" s="27"/>
      <c r="N147" s="1">
        <v>2</v>
      </c>
      <c r="O147" s="27">
        <f t="shared" si="6"/>
        <v>6255.1</v>
      </c>
      <c r="P147" s="27">
        <v>6255.1</v>
      </c>
      <c r="Q147" s="27"/>
      <c r="R147" s="31"/>
    </row>
    <row r="148" spans="1:18" ht="15" customHeight="1">
      <c r="A148" s="24">
        <v>75</v>
      </c>
      <c r="B148" s="23" t="s">
        <v>281</v>
      </c>
      <c r="C148" s="24" t="s">
        <v>18</v>
      </c>
      <c r="D148" s="23"/>
      <c r="E148" s="23" t="s">
        <v>19</v>
      </c>
      <c r="F148" s="23" t="s">
        <v>430</v>
      </c>
      <c r="G148" s="23" t="s">
        <v>142</v>
      </c>
      <c r="H148" s="25">
        <v>15</v>
      </c>
      <c r="I148" s="1">
        <v>6</v>
      </c>
      <c r="J148" s="26">
        <v>7</v>
      </c>
      <c r="K148" s="27">
        <f t="shared" si="5"/>
        <v>2702.63</v>
      </c>
      <c r="L148" s="27">
        <v>2702.63</v>
      </c>
      <c r="M148" s="27"/>
      <c r="N148" s="1">
        <v>2</v>
      </c>
      <c r="O148" s="27">
        <f t="shared" si="6"/>
        <v>2640.13</v>
      </c>
      <c r="P148" s="27">
        <v>2640.13</v>
      </c>
      <c r="Q148" s="27"/>
      <c r="R148" s="20"/>
    </row>
    <row r="149" spans="1:18" s="28" customFormat="1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285</v>
      </c>
      <c r="G149" s="23" t="s">
        <v>131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>
        <v>1</v>
      </c>
      <c r="O149" s="27">
        <f t="shared" si="6"/>
        <v>0</v>
      </c>
      <c r="P149" s="27"/>
      <c r="Q149" s="27"/>
      <c r="R149" s="31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349</v>
      </c>
      <c r="G150" s="23" t="s">
        <v>122</v>
      </c>
      <c r="H150" s="25">
        <v>22</v>
      </c>
      <c r="I150" s="1">
        <v>5</v>
      </c>
      <c r="J150" s="26">
        <v>5</v>
      </c>
      <c r="K150" s="27">
        <f t="shared" si="5"/>
        <v>9287.9599999999991</v>
      </c>
      <c r="L150" s="27">
        <v>9287.9599999999991</v>
      </c>
      <c r="M150" s="27"/>
      <c r="N150" s="1">
        <v>6</v>
      </c>
      <c r="O150" s="27">
        <f t="shared" si="6"/>
        <v>13416.69</v>
      </c>
      <c r="P150" s="27">
        <v>13416.69</v>
      </c>
      <c r="Q150" s="27"/>
      <c r="R150" s="31"/>
    </row>
    <row r="151" spans="1:18" ht="15" customHeight="1">
      <c r="A151" s="24">
        <v>76</v>
      </c>
      <c r="B151" s="23" t="s">
        <v>94</v>
      </c>
      <c r="C151" s="24" t="s">
        <v>18</v>
      </c>
      <c r="D151" s="23"/>
      <c r="E151" s="23" t="s">
        <v>95</v>
      </c>
      <c r="F151" s="23" t="s">
        <v>431</v>
      </c>
      <c r="G151" s="23" t="s">
        <v>142</v>
      </c>
      <c r="H151" s="25">
        <v>38</v>
      </c>
      <c r="I151" s="1">
        <v>23</v>
      </c>
      <c r="J151" s="26">
        <v>34</v>
      </c>
      <c r="K151" s="27">
        <f t="shared" si="5"/>
        <v>4012.07</v>
      </c>
      <c r="L151" s="27">
        <v>4012.07</v>
      </c>
      <c r="M151" s="27"/>
      <c r="N151" s="1">
        <v>9</v>
      </c>
      <c r="O151" s="27">
        <f t="shared" si="6"/>
        <v>13489.94</v>
      </c>
      <c r="P151" s="27">
        <v>13489.94</v>
      </c>
      <c r="Q151" s="27"/>
      <c r="R151" s="20"/>
    </row>
    <row r="152" spans="1:18" s="28" customFormat="1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319</v>
      </c>
      <c r="G152" s="23" t="s">
        <v>124</v>
      </c>
      <c r="H152" s="25">
        <v>15</v>
      </c>
      <c r="I152" s="1">
        <v>2</v>
      </c>
      <c r="J152" s="26">
        <v>2</v>
      </c>
      <c r="K152" s="27">
        <f t="shared" si="5"/>
        <v>6519.4</v>
      </c>
      <c r="L152" s="27">
        <v>6519.4</v>
      </c>
      <c r="M152" s="27"/>
      <c r="N152" s="1">
        <v>2</v>
      </c>
      <c r="O152" s="27">
        <f t="shared" si="6"/>
        <v>3942.68</v>
      </c>
      <c r="P152" s="27">
        <v>3942.68</v>
      </c>
      <c r="Q152" s="27"/>
      <c r="R152" s="31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123</v>
      </c>
      <c r="G153" s="23" t="s">
        <v>131</v>
      </c>
      <c r="H153" s="25">
        <v>0</v>
      </c>
      <c r="I153" s="2"/>
      <c r="J153" s="26"/>
      <c r="K153" s="27">
        <f t="shared" si="5"/>
        <v>0</v>
      </c>
      <c r="L153" s="27"/>
      <c r="M153" s="27"/>
      <c r="N153" s="2"/>
      <c r="O153" s="27">
        <f t="shared" si="6"/>
        <v>0</v>
      </c>
      <c r="P153" s="27"/>
      <c r="Q153" s="27"/>
      <c r="R153" s="31"/>
    </row>
    <row r="154" spans="1:18" ht="15" customHeight="1">
      <c r="A154" s="24">
        <v>77</v>
      </c>
      <c r="B154" s="23" t="s">
        <v>96</v>
      </c>
      <c r="C154" s="24" t="s">
        <v>18</v>
      </c>
      <c r="D154" s="23"/>
      <c r="E154" s="23" t="s">
        <v>19</v>
      </c>
      <c r="F154" s="23" t="s">
        <v>432</v>
      </c>
      <c r="G154" s="23" t="s">
        <v>142</v>
      </c>
      <c r="H154" s="25">
        <v>6</v>
      </c>
      <c r="I154" s="1">
        <v>2</v>
      </c>
      <c r="J154" s="26">
        <v>2</v>
      </c>
      <c r="K154" s="27">
        <f t="shared" si="5"/>
        <v>0</v>
      </c>
      <c r="L154" s="27"/>
      <c r="M154" s="27"/>
      <c r="N154" s="1">
        <v>2</v>
      </c>
      <c r="O154" s="27">
        <f t="shared" si="6"/>
        <v>4049.6000000000004</v>
      </c>
      <c r="P154" s="27">
        <v>4049.6000000000004</v>
      </c>
      <c r="Q154" s="27"/>
      <c r="R154" s="20"/>
    </row>
    <row r="155" spans="1:18" s="28" customFormat="1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292</v>
      </c>
      <c r="G155" s="23" t="s">
        <v>131</v>
      </c>
      <c r="H155" s="25">
        <v>0</v>
      </c>
      <c r="I155" s="1"/>
      <c r="J155" s="26"/>
      <c r="K155" s="27">
        <f t="shared" si="5"/>
        <v>0</v>
      </c>
      <c r="L155" s="27"/>
      <c r="M155" s="27"/>
      <c r="N155" s="1">
        <v>2</v>
      </c>
      <c r="O155" s="27">
        <f t="shared" si="6"/>
        <v>6695.6</v>
      </c>
      <c r="P155" s="27">
        <v>6695.6</v>
      </c>
      <c r="Q155" s="27"/>
      <c r="R155" s="31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447</v>
      </c>
      <c r="G156" s="23" t="s">
        <v>122</v>
      </c>
      <c r="H156" s="25">
        <v>18</v>
      </c>
      <c r="I156" s="1">
        <v>6</v>
      </c>
      <c r="J156" s="26">
        <v>6</v>
      </c>
      <c r="K156" s="27">
        <f t="shared" si="5"/>
        <v>5286</v>
      </c>
      <c r="L156" s="27">
        <v>5286</v>
      </c>
      <c r="M156" s="27"/>
      <c r="N156" s="1">
        <v>6</v>
      </c>
      <c r="O156" s="27">
        <f t="shared" si="6"/>
        <v>12686.4</v>
      </c>
      <c r="P156" s="27">
        <v>12686.4</v>
      </c>
      <c r="Q156" s="27"/>
      <c r="R156" s="31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2" t="s">
        <v>19</v>
      </c>
      <c r="F157" s="23" t="s">
        <v>367</v>
      </c>
      <c r="G157" s="22" t="s">
        <v>136</v>
      </c>
      <c r="H157" s="45">
        <v>8</v>
      </c>
      <c r="I157" s="1">
        <v>1</v>
      </c>
      <c r="J157" s="26">
        <v>1</v>
      </c>
      <c r="K157" s="27">
        <f t="shared" si="5"/>
        <v>0</v>
      </c>
      <c r="L157" s="27"/>
      <c r="M157" s="27"/>
      <c r="N157" s="1">
        <v>2</v>
      </c>
      <c r="O157" s="27">
        <f t="shared" si="6"/>
        <v>2466.8000000000002</v>
      </c>
      <c r="P157" s="27">
        <v>2466.8000000000002</v>
      </c>
      <c r="Q157" s="27"/>
      <c r="R157" s="31"/>
    </row>
    <row r="158" spans="1:18" ht="15" customHeight="1">
      <c r="A158" s="24">
        <v>78</v>
      </c>
      <c r="B158" s="23" t="s">
        <v>97</v>
      </c>
      <c r="C158" s="24" t="s">
        <v>18</v>
      </c>
      <c r="D158" s="23"/>
      <c r="E158" s="23" t="s">
        <v>19</v>
      </c>
      <c r="F158" s="23" t="s">
        <v>462</v>
      </c>
      <c r="G158" s="23" t="s">
        <v>142</v>
      </c>
      <c r="H158" s="25">
        <v>6</v>
      </c>
      <c r="I158" s="1"/>
      <c r="J158" s="26"/>
      <c r="K158" s="27">
        <f t="shared" si="5"/>
        <v>0</v>
      </c>
      <c r="L158" s="27"/>
      <c r="M158" s="27"/>
      <c r="N158" s="1">
        <v>3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98</v>
      </c>
      <c r="C159" s="24" t="s">
        <v>18</v>
      </c>
      <c r="D159" s="23"/>
      <c r="E159" s="23" t="s">
        <v>19</v>
      </c>
      <c r="F159" s="23" t="s">
        <v>433</v>
      </c>
      <c r="G159" s="23" t="s">
        <v>142</v>
      </c>
      <c r="H159" s="25">
        <v>18</v>
      </c>
      <c r="I159" s="1">
        <v>17</v>
      </c>
      <c r="J159" s="26">
        <v>18</v>
      </c>
      <c r="K159" s="27">
        <f t="shared" si="5"/>
        <v>14455.97</v>
      </c>
      <c r="L159" s="27">
        <v>14455.97</v>
      </c>
      <c r="M159" s="27"/>
      <c r="N159" s="1">
        <v>9</v>
      </c>
      <c r="O159" s="27">
        <f t="shared" si="6"/>
        <v>35129.230000000003</v>
      </c>
      <c r="P159" s="27">
        <v>35129.230000000003</v>
      </c>
      <c r="Q159" s="27"/>
      <c r="R159" s="20"/>
    </row>
    <row r="160" spans="1:18" ht="15" customHeight="1">
      <c r="A160" s="24">
        <v>80</v>
      </c>
      <c r="B160" s="23" t="s">
        <v>99</v>
      </c>
      <c r="C160" s="24" t="s">
        <v>18</v>
      </c>
      <c r="D160" s="23"/>
      <c r="E160" s="23" t="s">
        <v>19</v>
      </c>
      <c r="F160" s="23" t="s">
        <v>120</v>
      </c>
      <c r="G160" s="23" t="s">
        <v>142</v>
      </c>
      <c r="H160" s="25">
        <v>0</v>
      </c>
      <c r="I160" s="1"/>
      <c r="J160" s="26"/>
      <c r="K160" s="27">
        <f t="shared" si="5"/>
        <v>0</v>
      </c>
      <c r="L160" s="27"/>
      <c r="M160" s="27"/>
      <c r="N160" s="1">
        <v>2</v>
      </c>
      <c r="O160" s="27">
        <f t="shared" si="6"/>
        <v>0</v>
      </c>
      <c r="P160" s="27"/>
      <c r="Q160" s="27"/>
      <c r="R160" s="20"/>
    </row>
    <row r="161" spans="1:18" ht="24.6" customHeight="1">
      <c r="A161" s="29">
        <v>81</v>
      </c>
      <c r="B161" s="30" t="s">
        <v>100</v>
      </c>
      <c r="C161" s="29" t="s">
        <v>30</v>
      </c>
      <c r="D161" s="30" t="s">
        <v>101</v>
      </c>
      <c r="E161" s="30" t="s">
        <v>19</v>
      </c>
      <c r="F161" s="23" t="s">
        <v>434</v>
      </c>
      <c r="G161" s="30" t="s">
        <v>142</v>
      </c>
      <c r="H161" s="25">
        <v>12</v>
      </c>
      <c r="I161" s="1"/>
      <c r="J161" s="26"/>
      <c r="K161" s="27">
        <f t="shared" si="5"/>
        <v>0</v>
      </c>
      <c r="L161" s="27"/>
      <c r="M161" s="27"/>
      <c r="N161" s="1"/>
      <c r="O161" s="27">
        <f t="shared" si="6"/>
        <v>0</v>
      </c>
      <c r="P161" s="27"/>
      <c r="Q161" s="27"/>
      <c r="R161" s="20"/>
    </row>
    <row r="162" spans="1:18" s="28" customFormat="1" ht="29.25" customHeight="1">
      <c r="A162" s="29"/>
      <c r="B162" s="30" t="s">
        <v>100</v>
      </c>
      <c r="C162" s="29" t="s">
        <v>30</v>
      </c>
      <c r="D162" s="30" t="s">
        <v>101</v>
      </c>
      <c r="E162" s="30" t="s">
        <v>19</v>
      </c>
      <c r="F162" s="30" t="s">
        <v>292</v>
      </c>
      <c r="G162" s="30" t="s">
        <v>122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31"/>
    </row>
    <row r="163" spans="1:18" ht="26.25" customHeight="1">
      <c r="A163" s="46">
        <v>82</v>
      </c>
      <c r="B163" s="60" t="s">
        <v>144</v>
      </c>
      <c r="C163" s="46" t="s">
        <v>18</v>
      </c>
      <c r="D163" s="60"/>
      <c r="E163" s="60" t="s">
        <v>104</v>
      </c>
      <c r="F163" s="60" t="s">
        <v>120</v>
      </c>
      <c r="G163" s="60" t="s">
        <v>142</v>
      </c>
      <c r="H163" s="61">
        <v>0</v>
      </c>
      <c r="I163" s="1"/>
      <c r="J163" s="26"/>
      <c r="K163" s="27">
        <f t="shared" si="5"/>
        <v>0</v>
      </c>
      <c r="L163" s="63"/>
      <c r="M163" s="63"/>
      <c r="N163" s="1"/>
      <c r="O163" s="27">
        <f t="shared" si="6"/>
        <v>0</v>
      </c>
      <c r="P163" s="63"/>
      <c r="Q163" s="63"/>
      <c r="R163" s="20"/>
    </row>
    <row r="164" spans="1:18" ht="15.75" customHeight="1">
      <c r="A164" s="24">
        <v>83</v>
      </c>
      <c r="B164" s="23" t="s">
        <v>102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18" ht="15" customHeight="1">
      <c r="A165" s="24">
        <v>84</v>
      </c>
      <c r="B165" s="23" t="s">
        <v>103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>
        <v>1</v>
      </c>
      <c r="O165" s="27">
        <f t="shared" si="6"/>
        <v>12670.26</v>
      </c>
      <c r="P165" s="27">
        <v>12670.26</v>
      </c>
      <c r="Q165" s="27"/>
      <c r="R165" s="20"/>
    </row>
    <row r="166" spans="1:18" s="28" customFormat="1" ht="15" customHeight="1">
      <c r="A166" s="24"/>
      <c r="B166" s="23" t="s">
        <v>103</v>
      </c>
      <c r="C166" s="24" t="s">
        <v>18</v>
      </c>
      <c r="D166" s="23"/>
      <c r="E166" s="23" t="s">
        <v>19</v>
      </c>
      <c r="F166" s="23" t="s">
        <v>456</v>
      </c>
      <c r="G166" s="23" t="s">
        <v>122</v>
      </c>
      <c r="H166" s="25">
        <v>9</v>
      </c>
      <c r="I166" s="1"/>
      <c r="J166" s="26"/>
      <c r="K166" s="27">
        <f t="shared" si="5"/>
        <v>0</v>
      </c>
      <c r="L166" s="27"/>
      <c r="M166" s="27"/>
      <c r="N166" s="1"/>
      <c r="O166" s="27">
        <f t="shared" si="6"/>
        <v>2731.1</v>
      </c>
      <c r="P166" s="27">
        <v>2731.1</v>
      </c>
      <c r="Q166" s="27"/>
      <c r="R166" s="31"/>
    </row>
    <row r="167" spans="1:18" ht="15" customHeight="1">
      <c r="A167" s="41">
        <v>85</v>
      </c>
      <c r="B167" s="37" t="s">
        <v>302</v>
      </c>
      <c r="C167" s="41" t="s">
        <v>18</v>
      </c>
      <c r="D167" s="37"/>
      <c r="E167" s="37" t="s">
        <v>104</v>
      </c>
      <c r="F167" s="37" t="s">
        <v>461</v>
      </c>
      <c r="G167" s="37" t="s">
        <v>142</v>
      </c>
      <c r="H167" s="42">
        <v>16</v>
      </c>
      <c r="I167" s="40">
        <v>3</v>
      </c>
      <c r="J167" s="43">
        <v>3</v>
      </c>
      <c r="K167" s="27">
        <f t="shared" si="5"/>
        <v>0</v>
      </c>
      <c r="L167" s="39"/>
      <c r="M167" s="39"/>
      <c r="N167" s="40"/>
      <c r="O167" s="27">
        <f t="shared" si="6"/>
        <v>0</v>
      </c>
      <c r="P167" s="39"/>
      <c r="Q167" s="39"/>
      <c r="R167" s="20"/>
    </row>
    <row r="168" spans="1:18" s="28" customFormat="1" ht="15" customHeight="1">
      <c r="A168" s="24"/>
      <c r="B168" s="23" t="s">
        <v>302</v>
      </c>
      <c r="C168" s="24" t="s">
        <v>18</v>
      </c>
      <c r="D168" s="23"/>
      <c r="E168" s="23" t="s">
        <v>19</v>
      </c>
      <c r="F168" s="23" t="s">
        <v>348</v>
      </c>
      <c r="G168" s="23" t="s">
        <v>122</v>
      </c>
      <c r="H168" s="25">
        <v>20</v>
      </c>
      <c r="I168" s="1">
        <v>3</v>
      </c>
      <c r="J168" s="26">
        <v>3</v>
      </c>
      <c r="K168" s="27">
        <f t="shared" si="5"/>
        <v>7752.8</v>
      </c>
      <c r="L168" s="27">
        <v>7752.8</v>
      </c>
      <c r="M168" s="27"/>
      <c r="N168" s="1"/>
      <c r="O168" s="27">
        <f t="shared" si="6"/>
        <v>0</v>
      </c>
      <c r="P168" s="27"/>
      <c r="Q168" s="27"/>
      <c r="R168" s="31"/>
    </row>
    <row r="169" spans="1:18" s="28" customFormat="1" ht="15" customHeight="1">
      <c r="A169" s="24">
        <v>86</v>
      </c>
      <c r="B169" s="23" t="s">
        <v>328</v>
      </c>
      <c r="C169" s="24" t="s">
        <v>18</v>
      </c>
      <c r="D169" s="23"/>
      <c r="E169" s="23" t="s">
        <v>19</v>
      </c>
      <c r="F169" s="23" t="s">
        <v>347</v>
      </c>
      <c r="G169" s="23" t="s">
        <v>122</v>
      </c>
      <c r="H169" s="25">
        <v>12</v>
      </c>
      <c r="I169" s="1">
        <v>1</v>
      </c>
      <c r="J169" s="26">
        <v>1</v>
      </c>
      <c r="K169" s="27">
        <f t="shared" si="5"/>
        <v>1585.8</v>
      </c>
      <c r="L169" s="27">
        <v>1585.8</v>
      </c>
      <c r="M169" s="27"/>
      <c r="N169" s="1"/>
      <c r="O169" s="27">
        <f t="shared" si="6"/>
        <v>0</v>
      </c>
      <c r="P169" s="27"/>
      <c r="Q169" s="27"/>
      <c r="R169" s="31"/>
    </row>
    <row r="170" spans="1:18" ht="15" customHeight="1">
      <c r="A170" s="24">
        <v>87</v>
      </c>
      <c r="B170" s="23" t="s">
        <v>314</v>
      </c>
      <c r="C170" s="24" t="s">
        <v>18</v>
      </c>
      <c r="D170" s="23"/>
      <c r="E170" s="23" t="s">
        <v>460</v>
      </c>
      <c r="F170" s="23" t="s">
        <v>435</v>
      </c>
      <c r="G170" s="23" t="s">
        <v>142</v>
      </c>
      <c r="H170" s="25">
        <v>4</v>
      </c>
      <c r="I170" s="1"/>
      <c r="J170" s="26"/>
      <c r="K170" s="27">
        <f t="shared" si="5"/>
        <v>0</v>
      </c>
      <c r="L170" s="27"/>
      <c r="M170" s="27"/>
      <c r="N170" s="1"/>
      <c r="O170" s="27">
        <f t="shared" si="6"/>
        <v>0</v>
      </c>
      <c r="P170" s="27"/>
      <c r="Q170" s="27"/>
      <c r="R170" s="20"/>
    </row>
    <row r="171" spans="1:18" s="28" customFormat="1" ht="15" customHeight="1">
      <c r="A171" s="41"/>
      <c r="B171" s="37" t="s">
        <v>314</v>
      </c>
      <c r="C171" s="41" t="s">
        <v>18</v>
      </c>
      <c r="D171" s="37"/>
      <c r="E171" s="37" t="s">
        <v>460</v>
      </c>
      <c r="F171" s="37" t="s">
        <v>474</v>
      </c>
      <c r="G171" s="37" t="s">
        <v>131</v>
      </c>
      <c r="H171" s="42">
        <v>2</v>
      </c>
      <c r="I171" s="40"/>
      <c r="J171" s="43"/>
      <c r="K171" s="27">
        <f t="shared" si="5"/>
        <v>0</v>
      </c>
      <c r="L171" s="39"/>
      <c r="M171" s="39"/>
      <c r="N171" s="40"/>
      <c r="O171" s="27">
        <f t="shared" si="6"/>
        <v>0</v>
      </c>
      <c r="P171" s="39"/>
      <c r="Q171" s="39"/>
      <c r="R171" s="31"/>
    </row>
    <row r="172" spans="1:18" s="28" customFormat="1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465</v>
      </c>
      <c r="G172" s="23" t="s">
        <v>136</v>
      </c>
      <c r="H172" s="25">
        <v>27</v>
      </c>
      <c r="I172" s="1"/>
      <c r="J172" s="26"/>
      <c r="K172" s="27">
        <f t="shared" si="5"/>
        <v>0</v>
      </c>
      <c r="L172" s="27"/>
      <c r="M172" s="27"/>
      <c r="N172" s="1"/>
      <c r="O172" s="27">
        <f t="shared" si="6"/>
        <v>0</v>
      </c>
      <c r="P172" s="27"/>
      <c r="Q172" s="27"/>
      <c r="R172" s="31"/>
    </row>
    <row r="173" spans="1:18" s="28" customFormat="1" ht="15" customHeight="1">
      <c r="A173" s="24">
        <v>88</v>
      </c>
      <c r="B173" s="23" t="s">
        <v>330</v>
      </c>
      <c r="C173" s="24" t="s">
        <v>18</v>
      </c>
      <c r="D173" s="23"/>
      <c r="E173" s="23" t="s">
        <v>104</v>
      </c>
      <c r="F173" s="23" t="s">
        <v>341</v>
      </c>
      <c r="G173" s="23" t="s">
        <v>131</v>
      </c>
      <c r="H173" s="25">
        <v>11</v>
      </c>
      <c r="I173" s="1">
        <v>8</v>
      </c>
      <c r="J173" s="26">
        <v>8</v>
      </c>
      <c r="K173" s="27">
        <f t="shared" si="5"/>
        <v>0</v>
      </c>
      <c r="L173" s="27"/>
      <c r="M173" s="27"/>
      <c r="N173" s="1"/>
      <c r="O173" s="27">
        <f t="shared" si="6"/>
        <v>0</v>
      </c>
      <c r="P173" s="27"/>
      <c r="Q173" s="27"/>
      <c r="R173" s="31"/>
    </row>
    <row r="174" spans="1:18" s="28" customFormat="1" ht="15" customHeight="1">
      <c r="A174" s="24"/>
      <c r="B174" s="23" t="s">
        <v>330</v>
      </c>
      <c r="C174" s="24" t="s">
        <v>18</v>
      </c>
      <c r="D174" s="23"/>
      <c r="E174" s="23" t="s">
        <v>19</v>
      </c>
      <c r="F174" s="23" t="s">
        <v>346</v>
      </c>
      <c r="G174" s="23" t="s">
        <v>122</v>
      </c>
      <c r="H174" s="25">
        <v>11</v>
      </c>
      <c r="I174" s="1">
        <v>3</v>
      </c>
      <c r="J174" s="26">
        <v>3</v>
      </c>
      <c r="K174" s="27">
        <f t="shared" si="5"/>
        <v>4757.3999999999996</v>
      </c>
      <c r="L174" s="27">
        <v>4757.3999999999996</v>
      </c>
      <c r="M174" s="27"/>
      <c r="N174" s="1"/>
      <c r="O174" s="27">
        <f t="shared" si="6"/>
        <v>0</v>
      </c>
      <c r="P174" s="27"/>
      <c r="Q174" s="27"/>
      <c r="R174" s="31"/>
    </row>
    <row r="175" spans="1:18" ht="24.75" customHeight="1">
      <c r="A175" s="29">
        <v>89</v>
      </c>
      <c r="B175" s="30" t="s">
        <v>105</v>
      </c>
      <c r="C175" s="29" t="s">
        <v>30</v>
      </c>
      <c r="D175" s="30" t="s">
        <v>106</v>
      </c>
      <c r="E175" s="30" t="s">
        <v>19</v>
      </c>
      <c r="F175" s="30" t="s">
        <v>436</v>
      </c>
      <c r="G175" s="30" t="s">
        <v>142</v>
      </c>
      <c r="H175" s="25">
        <v>15</v>
      </c>
      <c r="I175" s="1"/>
      <c r="J175" s="26"/>
      <c r="K175" s="27">
        <f t="shared" si="5"/>
        <v>0</v>
      </c>
      <c r="L175" s="27"/>
      <c r="M175" s="27"/>
      <c r="N175" s="1"/>
      <c r="O175" s="27">
        <f t="shared" si="6"/>
        <v>23296.730000000003</v>
      </c>
      <c r="P175" s="27">
        <v>23296.730000000003</v>
      </c>
      <c r="Q175" s="27"/>
      <c r="R175" s="20"/>
    </row>
    <row r="176" spans="1:18" ht="24.75" customHeight="1">
      <c r="A176" s="29">
        <v>90</v>
      </c>
      <c r="B176" s="30" t="s">
        <v>315</v>
      </c>
      <c r="C176" s="29" t="s">
        <v>18</v>
      </c>
      <c r="D176" s="30"/>
      <c r="E176" s="30" t="s">
        <v>19</v>
      </c>
      <c r="F176" s="30" t="s">
        <v>437</v>
      </c>
      <c r="G176" s="30" t="s">
        <v>142</v>
      </c>
      <c r="H176" s="25">
        <v>11</v>
      </c>
      <c r="I176" s="1">
        <v>7</v>
      </c>
      <c r="J176" s="26">
        <v>8</v>
      </c>
      <c r="K176" s="27">
        <f t="shared" si="5"/>
        <v>0</v>
      </c>
      <c r="L176" s="27"/>
      <c r="M176" s="27"/>
      <c r="N176" s="1"/>
      <c r="O176" s="27">
        <f t="shared" si="6"/>
        <v>0</v>
      </c>
      <c r="P176" s="27"/>
      <c r="Q176" s="27"/>
      <c r="R176" s="20"/>
    </row>
    <row r="177" spans="1:38" s="28" customFormat="1" ht="24.75" customHeight="1">
      <c r="A177" s="29"/>
      <c r="B177" s="30" t="s">
        <v>315</v>
      </c>
      <c r="C177" s="29" t="s">
        <v>18</v>
      </c>
      <c r="D177" s="30"/>
      <c r="E177" s="30" t="s">
        <v>322</v>
      </c>
      <c r="F177" s="30" t="s">
        <v>323</v>
      </c>
      <c r="G177" s="30" t="s">
        <v>124</v>
      </c>
      <c r="H177" s="25">
        <v>7</v>
      </c>
      <c r="I177" s="1"/>
      <c r="J177" s="26"/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31"/>
    </row>
    <row r="178" spans="1:38" s="7" customFormat="1" ht="38.450000000000003" customHeight="1">
      <c r="A178" s="29">
        <v>91</v>
      </c>
      <c r="B178" s="30" t="s">
        <v>265</v>
      </c>
      <c r="C178" s="29" t="s">
        <v>18</v>
      </c>
      <c r="D178" s="30"/>
      <c r="E178" s="30" t="s">
        <v>19</v>
      </c>
      <c r="F178" s="30" t="s">
        <v>123</v>
      </c>
      <c r="G178" s="30" t="s">
        <v>142</v>
      </c>
      <c r="H178" s="25">
        <v>0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s="7" customFormat="1" ht="38.450000000000003" customHeight="1">
      <c r="A179" s="24">
        <v>92</v>
      </c>
      <c r="B179" s="23" t="s">
        <v>107</v>
      </c>
      <c r="C179" s="24" t="s">
        <v>18</v>
      </c>
      <c r="D179" s="23"/>
      <c r="E179" s="23" t="s">
        <v>41</v>
      </c>
      <c r="F179" s="30" t="s">
        <v>438</v>
      </c>
      <c r="G179" s="23" t="s">
        <v>142</v>
      </c>
      <c r="H179" s="25">
        <v>2</v>
      </c>
      <c r="I179" s="1">
        <v>1</v>
      </c>
      <c r="J179" s="26">
        <v>1</v>
      </c>
      <c r="K179" s="27">
        <f t="shared" si="5"/>
        <v>0</v>
      </c>
      <c r="L179" s="27"/>
      <c r="M179" s="27"/>
      <c r="N179" s="1">
        <v>6</v>
      </c>
      <c r="O179" s="27">
        <f t="shared" si="6"/>
        <v>1221.57</v>
      </c>
      <c r="P179" s="27">
        <v>1221.57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28" customFormat="1" ht="15.75" customHeight="1">
      <c r="A180" s="24"/>
      <c r="B180" s="23" t="s">
        <v>107</v>
      </c>
      <c r="C180" s="24" t="s">
        <v>18</v>
      </c>
      <c r="D180" s="23"/>
      <c r="E180" s="23" t="s">
        <v>41</v>
      </c>
      <c r="F180" s="23" t="s">
        <v>464</v>
      </c>
      <c r="G180" s="23" t="s">
        <v>136</v>
      </c>
      <c r="H180" s="25">
        <v>13</v>
      </c>
      <c r="I180" s="2">
        <v>7</v>
      </c>
      <c r="J180" s="26">
        <v>7</v>
      </c>
      <c r="K180" s="27">
        <f t="shared" si="5"/>
        <v>0</v>
      </c>
      <c r="L180" s="27"/>
      <c r="M180" s="27"/>
      <c r="N180" s="2">
        <v>19</v>
      </c>
      <c r="O180" s="27">
        <f t="shared" si="6"/>
        <v>40948.879999999997</v>
      </c>
      <c r="P180" s="27">
        <v>40948.879999999997</v>
      </c>
      <c r="Q180" s="27"/>
      <c r="R180" s="31"/>
    </row>
    <row r="181" spans="1:38" ht="16.5" customHeight="1">
      <c r="A181" s="24">
        <v>93</v>
      </c>
      <c r="B181" s="23" t="s">
        <v>108</v>
      </c>
      <c r="C181" s="24" t="s">
        <v>18</v>
      </c>
      <c r="D181" s="23"/>
      <c r="E181" s="23" t="s">
        <v>19</v>
      </c>
      <c r="F181" s="23" t="s">
        <v>439</v>
      </c>
      <c r="G181" s="23" t="s">
        <v>142</v>
      </c>
      <c r="H181" s="25">
        <v>44</v>
      </c>
      <c r="I181" s="1">
        <v>34</v>
      </c>
      <c r="J181" s="26">
        <v>34</v>
      </c>
      <c r="K181" s="27">
        <f t="shared" si="5"/>
        <v>13481.74</v>
      </c>
      <c r="L181" s="27">
        <v>13481.74</v>
      </c>
      <c r="M181" s="27"/>
      <c r="N181" s="1">
        <v>7</v>
      </c>
      <c r="O181" s="27">
        <f t="shared" si="6"/>
        <v>102505.09</v>
      </c>
      <c r="P181" s="27">
        <v>102505.09</v>
      </c>
      <c r="Q181" s="27"/>
      <c r="R181" s="20"/>
    </row>
    <row r="182" spans="1:38" s="28" customFormat="1" ht="16.5" customHeight="1">
      <c r="A182" s="24"/>
      <c r="B182" s="23" t="s">
        <v>108</v>
      </c>
      <c r="C182" s="24" t="s">
        <v>18</v>
      </c>
      <c r="D182" s="23"/>
      <c r="E182" s="23" t="s">
        <v>19</v>
      </c>
      <c r="F182" s="23" t="s">
        <v>345</v>
      </c>
      <c r="G182" s="23" t="s">
        <v>122</v>
      </c>
      <c r="H182" s="25">
        <v>14</v>
      </c>
      <c r="I182" s="1">
        <v>5</v>
      </c>
      <c r="J182" s="26">
        <v>5</v>
      </c>
      <c r="K182" s="27">
        <f t="shared" si="5"/>
        <v>0</v>
      </c>
      <c r="L182" s="27"/>
      <c r="M182" s="27"/>
      <c r="N182" s="1">
        <v>7</v>
      </c>
      <c r="O182" s="27">
        <f t="shared" si="6"/>
        <v>11823.02</v>
      </c>
      <c r="P182" s="27">
        <v>11823.02</v>
      </c>
      <c r="Q182" s="27"/>
      <c r="R182" s="31"/>
    </row>
    <row r="183" spans="1:38" s="7" customFormat="1" ht="16.5" customHeight="1">
      <c r="A183" s="24">
        <v>94</v>
      </c>
      <c r="B183" s="23" t="s">
        <v>146</v>
      </c>
      <c r="C183" s="24" t="s">
        <v>18</v>
      </c>
      <c r="D183" s="23"/>
      <c r="E183" s="23" t="s">
        <v>104</v>
      </c>
      <c r="F183" s="23" t="s">
        <v>475</v>
      </c>
      <c r="G183" s="23" t="s">
        <v>142</v>
      </c>
      <c r="H183" s="25">
        <v>23</v>
      </c>
      <c r="I183" s="1">
        <v>18</v>
      </c>
      <c r="J183" s="26">
        <v>18</v>
      </c>
      <c r="K183" s="27">
        <f t="shared" si="5"/>
        <v>0</v>
      </c>
      <c r="L183" s="27"/>
      <c r="M183" s="27"/>
      <c r="N183" s="1">
        <v>4</v>
      </c>
      <c r="O183" s="27">
        <f t="shared" si="6"/>
        <v>14026.97</v>
      </c>
      <c r="P183" s="27">
        <v>14026.97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3.45" customHeight="1">
      <c r="A184" s="29">
        <v>95</v>
      </c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440</v>
      </c>
      <c r="G184" s="30" t="s">
        <v>142</v>
      </c>
      <c r="H184" s="25">
        <v>55</v>
      </c>
      <c r="I184" s="1">
        <v>45</v>
      </c>
      <c r="J184" s="26">
        <v>45</v>
      </c>
      <c r="K184" s="27">
        <f t="shared" si="5"/>
        <v>11917.66</v>
      </c>
      <c r="L184" s="27">
        <v>11917.66</v>
      </c>
      <c r="M184" s="27"/>
      <c r="N184" s="1">
        <v>18</v>
      </c>
      <c r="O184" s="27">
        <f t="shared" si="6"/>
        <v>73939.81</v>
      </c>
      <c r="P184" s="27">
        <v>73939.81</v>
      </c>
      <c r="Q184" s="27"/>
      <c r="R184" s="20"/>
    </row>
    <row r="185" spans="1:38" s="28" customFormat="1" ht="27" customHeight="1">
      <c r="A185" s="29"/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344</v>
      </c>
      <c r="G185" s="30" t="s">
        <v>122</v>
      </c>
      <c r="H185" s="25">
        <v>28</v>
      </c>
      <c r="I185" s="1">
        <v>9</v>
      </c>
      <c r="J185" s="44">
        <v>9</v>
      </c>
      <c r="K185" s="27">
        <f t="shared" si="5"/>
        <v>14328.2</v>
      </c>
      <c r="L185" s="27">
        <v>14328.2</v>
      </c>
      <c r="M185" s="27"/>
      <c r="N185" s="1">
        <v>16</v>
      </c>
      <c r="O185" s="27">
        <f t="shared" si="6"/>
        <v>30487.919999999998</v>
      </c>
      <c r="P185" s="27">
        <v>30487.919999999998</v>
      </c>
      <c r="Q185" s="27"/>
      <c r="R185" s="31"/>
    </row>
    <row r="186" spans="1:38" ht="27.75" customHeight="1">
      <c r="A186" s="24">
        <v>96</v>
      </c>
      <c r="B186" s="23" t="s">
        <v>111</v>
      </c>
      <c r="C186" s="24" t="s">
        <v>18</v>
      </c>
      <c r="D186" s="23"/>
      <c r="E186" s="23" t="s">
        <v>112</v>
      </c>
      <c r="F186" s="23" t="s">
        <v>441</v>
      </c>
      <c r="G186" s="23" t="s">
        <v>142</v>
      </c>
      <c r="H186" s="25">
        <v>8</v>
      </c>
      <c r="I186" s="1">
        <v>6</v>
      </c>
      <c r="J186" s="26">
        <v>6</v>
      </c>
      <c r="K186" s="27">
        <f t="shared" si="5"/>
        <v>0</v>
      </c>
      <c r="L186" s="27"/>
      <c r="M186" s="27"/>
      <c r="N186" s="1">
        <v>9</v>
      </c>
      <c r="O186" s="27">
        <f t="shared" si="6"/>
        <v>27541.74</v>
      </c>
      <c r="P186" s="27">
        <v>27541.74</v>
      </c>
      <c r="Q186" s="27"/>
      <c r="R186" s="20"/>
    </row>
    <row r="187" spans="1:38" s="28" customFormat="1" ht="16.5" customHeight="1">
      <c r="A187" s="24"/>
      <c r="B187" s="23" t="s">
        <v>111</v>
      </c>
      <c r="C187" s="24" t="s">
        <v>18</v>
      </c>
      <c r="D187" s="23"/>
      <c r="E187" s="23" t="s">
        <v>112</v>
      </c>
      <c r="F187" s="23" t="s">
        <v>466</v>
      </c>
      <c r="G187" s="23" t="s">
        <v>136</v>
      </c>
      <c r="H187" s="25">
        <v>10</v>
      </c>
      <c r="I187" s="2"/>
      <c r="J187" s="26"/>
      <c r="K187" s="27">
        <f t="shared" si="5"/>
        <v>0</v>
      </c>
      <c r="L187" s="27"/>
      <c r="M187" s="27"/>
      <c r="N187" s="2">
        <v>3</v>
      </c>
      <c r="O187" s="27">
        <f t="shared" si="6"/>
        <v>1233.4000000000001</v>
      </c>
      <c r="P187" s="27">
        <v>1233.4000000000001</v>
      </c>
      <c r="Q187" s="27"/>
      <c r="R187" s="31"/>
    </row>
    <row r="188" spans="1:38" s="28" customFormat="1" ht="16.5" customHeight="1">
      <c r="A188" s="41">
        <v>97</v>
      </c>
      <c r="B188" s="37" t="s">
        <v>482</v>
      </c>
      <c r="C188" s="41" t="s">
        <v>18</v>
      </c>
      <c r="D188" s="37"/>
      <c r="E188" s="37" t="s">
        <v>104</v>
      </c>
      <c r="F188" s="37" t="s">
        <v>483</v>
      </c>
      <c r="G188" s="37" t="s">
        <v>122</v>
      </c>
      <c r="H188" s="42">
        <v>5</v>
      </c>
      <c r="I188" s="38">
        <v>1</v>
      </c>
      <c r="J188" s="43">
        <v>1</v>
      </c>
      <c r="K188" s="27">
        <f t="shared" si="5"/>
        <v>0</v>
      </c>
      <c r="L188" s="39"/>
      <c r="M188" s="39"/>
      <c r="N188" s="38"/>
      <c r="O188" s="27">
        <f t="shared" si="6"/>
        <v>0</v>
      </c>
      <c r="P188" s="39"/>
      <c r="Q188" s="39"/>
      <c r="R188" s="31"/>
    </row>
    <row r="189" spans="1:38" ht="16.5" customHeight="1">
      <c r="A189" s="24">
        <v>98</v>
      </c>
      <c r="B189" s="23" t="s">
        <v>113</v>
      </c>
      <c r="C189" s="24" t="s">
        <v>18</v>
      </c>
      <c r="D189" s="23"/>
      <c r="E189" s="23" t="s">
        <v>19</v>
      </c>
      <c r="F189" s="23" t="s">
        <v>120</v>
      </c>
      <c r="G189" s="23" t="s">
        <v>142</v>
      </c>
      <c r="H189" s="25">
        <v>0</v>
      </c>
      <c r="I189" s="1"/>
      <c r="J189" s="26"/>
      <c r="K189" s="27">
        <f t="shared" si="5"/>
        <v>0</v>
      </c>
      <c r="L189" s="27"/>
      <c r="M189" s="27"/>
      <c r="N189" s="1">
        <v>3</v>
      </c>
      <c r="O189" s="27">
        <f t="shared" si="6"/>
        <v>660.75</v>
      </c>
      <c r="P189" s="27">
        <v>660.75</v>
      </c>
      <c r="Q189" s="27"/>
      <c r="R189" s="20"/>
    </row>
    <row r="190" spans="1:38" s="28" customFormat="1" ht="18.75" customHeight="1">
      <c r="A190" s="24"/>
      <c r="B190" s="23" t="s">
        <v>113</v>
      </c>
      <c r="C190" s="24" t="s">
        <v>18</v>
      </c>
      <c r="D190" s="23"/>
      <c r="E190" s="23" t="s">
        <v>19</v>
      </c>
      <c r="F190" s="23" t="s">
        <v>469</v>
      </c>
      <c r="G190" s="23" t="s">
        <v>122</v>
      </c>
      <c r="H190" s="25">
        <v>29</v>
      </c>
      <c r="I190" s="1">
        <v>3</v>
      </c>
      <c r="J190" s="26">
        <v>3</v>
      </c>
      <c r="K190" s="27">
        <f t="shared" si="5"/>
        <v>21623.34</v>
      </c>
      <c r="L190" s="27">
        <v>21623.34</v>
      </c>
      <c r="M190" s="27"/>
      <c r="N190" s="1">
        <v>17</v>
      </c>
      <c r="O190" s="27">
        <f t="shared" si="6"/>
        <v>87493.26</v>
      </c>
      <c r="P190" s="27">
        <v>87493.26</v>
      </c>
      <c r="Q190" s="27"/>
      <c r="R190" s="31"/>
    </row>
    <row r="191" spans="1:38" ht="20.25" customHeight="1">
      <c r="A191" s="24">
        <v>99</v>
      </c>
      <c r="B191" s="23" t="s">
        <v>114</v>
      </c>
      <c r="C191" s="24" t="s">
        <v>18</v>
      </c>
      <c r="D191" s="23"/>
      <c r="E191" s="23" t="s">
        <v>41</v>
      </c>
      <c r="F191" s="23" t="s">
        <v>443</v>
      </c>
      <c r="G191" s="23" t="s">
        <v>142</v>
      </c>
      <c r="H191" s="25">
        <v>9</v>
      </c>
      <c r="I191" s="1">
        <v>5</v>
      </c>
      <c r="J191" s="26">
        <v>6</v>
      </c>
      <c r="K191" s="27">
        <f t="shared" si="5"/>
        <v>0</v>
      </c>
      <c r="L191" s="27"/>
      <c r="M191" s="27"/>
      <c r="N191" s="1">
        <v>4</v>
      </c>
      <c r="O191" s="27">
        <f t="shared" si="6"/>
        <v>12416.6</v>
      </c>
      <c r="P191" s="27">
        <v>12416.6</v>
      </c>
      <c r="Q191" s="27"/>
      <c r="R191" s="20"/>
    </row>
    <row r="192" spans="1:38" s="28" customFormat="1" ht="16.899999999999999" customHeight="1">
      <c r="A192" s="24"/>
      <c r="B192" s="23" t="s">
        <v>141</v>
      </c>
      <c r="C192" s="24" t="s">
        <v>18</v>
      </c>
      <c r="D192" s="23"/>
      <c r="E192" s="23" t="s">
        <v>41</v>
      </c>
      <c r="F192" s="23" t="s">
        <v>368</v>
      </c>
      <c r="G192" s="23" t="s">
        <v>136</v>
      </c>
      <c r="H192" s="25">
        <v>12</v>
      </c>
      <c r="I192" s="2">
        <v>3</v>
      </c>
      <c r="J192" s="26">
        <v>3</v>
      </c>
      <c r="K192" s="27">
        <f t="shared" si="5"/>
        <v>0</v>
      </c>
      <c r="L192" s="27"/>
      <c r="M192" s="27"/>
      <c r="N192" s="2">
        <v>6</v>
      </c>
      <c r="O192" s="27">
        <f t="shared" si="6"/>
        <v>34535.199999999997</v>
      </c>
      <c r="P192" s="27">
        <v>34535.199999999997</v>
      </c>
      <c r="Q192" s="27"/>
      <c r="R192" s="31"/>
    </row>
    <row r="193" spans="1:44" ht="16.899999999999999" customHeight="1">
      <c r="A193" s="24">
        <v>100</v>
      </c>
      <c r="B193" s="23" t="s">
        <v>309</v>
      </c>
      <c r="C193" s="24" t="s">
        <v>18</v>
      </c>
      <c r="D193" s="23"/>
      <c r="E193" s="23" t="s">
        <v>19</v>
      </c>
      <c r="F193" s="23" t="s">
        <v>442</v>
      </c>
      <c r="G193" s="23" t="s">
        <v>142</v>
      </c>
      <c r="H193" s="25">
        <v>27</v>
      </c>
      <c r="I193" s="2">
        <v>23</v>
      </c>
      <c r="J193" s="26">
        <v>24</v>
      </c>
      <c r="K193" s="27">
        <f t="shared" si="5"/>
        <v>7701.71</v>
      </c>
      <c r="L193" s="27">
        <v>7701.71</v>
      </c>
      <c r="M193" s="27"/>
      <c r="N193" s="2"/>
      <c r="O193" s="27">
        <f t="shared" si="6"/>
        <v>0</v>
      </c>
      <c r="P193" s="27"/>
      <c r="Q193" s="27"/>
      <c r="R193" s="20"/>
    </row>
    <row r="194" spans="1:44" s="28" customFormat="1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343</v>
      </c>
      <c r="G194" s="23" t="s">
        <v>122</v>
      </c>
      <c r="H194" s="25">
        <v>8</v>
      </c>
      <c r="I194" s="2">
        <v>2</v>
      </c>
      <c r="J194" s="26">
        <v>2</v>
      </c>
      <c r="K194" s="27">
        <f t="shared" si="5"/>
        <v>1233.4000000000001</v>
      </c>
      <c r="L194" s="27">
        <v>1233.4000000000001</v>
      </c>
      <c r="M194" s="27"/>
      <c r="N194" s="2"/>
      <c r="O194" s="27">
        <f t="shared" si="6"/>
        <v>0</v>
      </c>
      <c r="P194" s="27"/>
      <c r="Q194" s="27"/>
      <c r="R194" s="31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324</v>
      </c>
      <c r="G195" s="23" t="s">
        <v>124</v>
      </c>
      <c r="H195" s="25">
        <v>1</v>
      </c>
      <c r="I195" s="2"/>
      <c r="J195" s="26"/>
      <c r="K195" s="27">
        <f t="shared" si="5"/>
        <v>0</v>
      </c>
      <c r="L195" s="27"/>
      <c r="M195" s="27"/>
      <c r="N195" s="2"/>
      <c r="O195" s="27">
        <f t="shared" si="6"/>
        <v>0</v>
      </c>
      <c r="P195" s="27"/>
      <c r="Q195" s="27"/>
      <c r="R195" s="31"/>
    </row>
    <row r="196" spans="1:44" ht="24.6" customHeight="1">
      <c r="A196" s="29">
        <v>101</v>
      </c>
      <c r="B196" s="30" t="s">
        <v>115</v>
      </c>
      <c r="C196" s="29" t="s">
        <v>52</v>
      </c>
      <c r="D196" s="30" t="s">
        <v>110</v>
      </c>
      <c r="E196" s="30" t="s">
        <v>19</v>
      </c>
      <c r="F196" s="30"/>
      <c r="G196" s="30" t="s">
        <v>142</v>
      </c>
      <c r="H196" s="25">
        <v>0</v>
      </c>
      <c r="I196" s="1"/>
      <c r="J196" s="26"/>
      <c r="K196" s="27">
        <f t="shared" si="5"/>
        <v>0</v>
      </c>
      <c r="L196" s="27"/>
      <c r="M196" s="27"/>
      <c r="N196" s="1">
        <v>1</v>
      </c>
      <c r="O196" s="27">
        <f t="shared" si="6"/>
        <v>0</v>
      </c>
      <c r="P196" s="27"/>
      <c r="Q196" s="27"/>
      <c r="R196" s="20"/>
    </row>
    <row r="197" spans="1:44" s="28" customFormat="1" ht="32.25" customHeight="1">
      <c r="A197" s="29"/>
      <c r="B197" s="30" t="s">
        <v>115</v>
      </c>
      <c r="C197" s="29" t="s">
        <v>52</v>
      </c>
      <c r="D197" s="30" t="s">
        <v>110</v>
      </c>
      <c r="E197" s="30" t="s">
        <v>19</v>
      </c>
      <c r="F197" s="30" t="s">
        <v>292</v>
      </c>
      <c r="G197" s="30" t="s">
        <v>122</v>
      </c>
      <c r="H197" s="25">
        <v>0</v>
      </c>
      <c r="I197" s="1"/>
      <c r="J197" s="44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31"/>
    </row>
    <row r="198" spans="1:44" ht="34.9" customHeight="1">
      <c r="A198" s="29">
        <v>102</v>
      </c>
      <c r="B198" s="30" t="s">
        <v>116</v>
      </c>
      <c r="C198" s="29" t="s">
        <v>52</v>
      </c>
      <c r="D198" s="30" t="s">
        <v>117</v>
      </c>
      <c r="E198" s="30" t="s">
        <v>19</v>
      </c>
      <c r="F198" s="30" t="s">
        <v>444</v>
      </c>
      <c r="G198" s="30" t="s">
        <v>142</v>
      </c>
      <c r="H198" s="25">
        <v>42</v>
      </c>
      <c r="I198" s="1">
        <v>31</v>
      </c>
      <c r="J198" s="44">
        <v>32</v>
      </c>
      <c r="K198" s="27">
        <f t="shared" si="5"/>
        <v>33986.29</v>
      </c>
      <c r="L198" s="27">
        <v>33986.29</v>
      </c>
      <c r="M198" s="27"/>
      <c r="N198" s="1">
        <v>5</v>
      </c>
      <c r="O198" s="27">
        <f t="shared" si="6"/>
        <v>14077.71</v>
      </c>
      <c r="P198" s="27">
        <v>14077.71</v>
      </c>
      <c r="Q198" s="27"/>
      <c r="R198" s="20"/>
    </row>
    <row r="199" spans="1:44" ht="28.5" customHeight="1">
      <c r="A199" s="29">
        <v>103</v>
      </c>
      <c r="B199" s="30" t="s">
        <v>209</v>
      </c>
      <c r="C199" s="29" t="s">
        <v>18</v>
      </c>
      <c r="D199" s="30"/>
      <c r="E199" s="30" t="s">
        <v>19</v>
      </c>
      <c r="F199" s="30" t="s">
        <v>123</v>
      </c>
      <c r="G199" s="30" t="s">
        <v>142</v>
      </c>
      <c r="H199" s="25">
        <v>0</v>
      </c>
      <c r="I199" s="1"/>
      <c r="J199" s="44"/>
      <c r="K199" s="27">
        <f t="shared" si="5"/>
        <v>0</v>
      </c>
      <c r="L199" s="27"/>
      <c r="M199" s="27"/>
      <c r="N199" s="1"/>
      <c r="O199" s="27">
        <f t="shared" si="6"/>
        <v>0</v>
      </c>
      <c r="P199" s="27"/>
      <c r="Q199" s="27"/>
      <c r="R199" s="20"/>
    </row>
    <row r="200" spans="1:44" ht="19.5" customHeight="1">
      <c r="A200" s="29">
        <v>104</v>
      </c>
      <c r="B200" s="30" t="s">
        <v>118</v>
      </c>
      <c r="C200" s="29" t="s">
        <v>18</v>
      </c>
      <c r="D200" s="30"/>
      <c r="E200" s="30" t="s">
        <v>41</v>
      </c>
      <c r="F200" s="30" t="s">
        <v>445</v>
      </c>
      <c r="G200" s="30" t="s">
        <v>142</v>
      </c>
      <c r="H200" s="25">
        <v>26</v>
      </c>
      <c r="I200" s="1">
        <v>13</v>
      </c>
      <c r="J200" s="44">
        <v>14</v>
      </c>
      <c r="K200" s="27">
        <f t="shared" si="5"/>
        <v>10009.780000000001</v>
      </c>
      <c r="L200" s="27">
        <v>10009.780000000001</v>
      </c>
      <c r="M200" s="27"/>
      <c r="N200" s="1">
        <v>25</v>
      </c>
      <c r="O200" s="27">
        <f t="shared" si="6"/>
        <v>33365.57</v>
      </c>
      <c r="P200" s="27">
        <v>33365.57</v>
      </c>
      <c r="Q200" s="27"/>
      <c r="R200" s="20"/>
    </row>
    <row r="201" spans="1:44" s="28" customFormat="1" ht="30.6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298</v>
      </c>
      <c r="G201" s="23" t="s">
        <v>124</v>
      </c>
      <c r="H201" s="25">
        <v>0</v>
      </c>
      <c r="I201" s="1"/>
      <c r="J201" s="44"/>
      <c r="K201" s="27">
        <f t="shared" si="5"/>
        <v>0</v>
      </c>
      <c r="L201" s="27"/>
      <c r="M201" s="27"/>
      <c r="N201" s="1">
        <v>1</v>
      </c>
      <c r="O201" s="27">
        <f t="shared" si="6"/>
        <v>5462.2</v>
      </c>
      <c r="P201" s="27">
        <v>5462.2</v>
      </c>
      <c r="Q201" s="27"/>
      <c r="R201" s="31"/>
    </row>
    <row r="202" spans="1:44" s="28" customFormat="1" ht="27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123</v>
      </c>
      <c r="G202" s="23" t="s">
        <v>136</v>
      </c>
      <c r="H202" s="25">
        <v>0</v>
      </c>
      <c r="I202" s="2"/>
      <c r="J202" s="26"/>
      <c r="K202" s="27">
        <f t="shared" si="5"/>
        <v>0</v>
      </c>
      <c r="L202" s="27"/>
      <c r="M202" s="27"/>
      <c r="N202" s="2"/>
      <c r="O202" s="27">
        <f t="shared" si="6"/>
        <v>0</v>
      </c>
      <c r="P202" s="27"/>
      <c r="Q202" s="27"/>
      <c r="R202" s="31"/>
    </row>
    <row r="203" spans="1:44" s="14" customFormat="1" ht="27" customHeight="1">
      <c r="A203" s="46">
        <v>105</v>
      </c>
      <c r="B203" s="60" t="s">
        <v>325</v>
      </c>
      <c r="C203" s="46" t="s">
        <v>18</v>
      </c>
      <c r="D203" s="60"/>
      <c r="E203" s="60" t="s">
        <v>36</v>
      </c>
      <c r="F203" s="60" t="s">
        <v>446</v>
      </c>
      <c r="G203" s="60" t="s">
        <v>142</v>
      </c>
      <c r="H203" s="61">
        <v>12</v>
      </c>
      <c r="I203" s="32">
        <v>5</v>
      </c>
      <c r="J203" s="86">
        <v>5</v>
      </c>
      <c r="K203" s="27">
        <f t="shared" ref="K203:K205" si="7">L203+M203</f>
        <v>0</v>
      </c>
      <c r="L203" s="63"/>
      <c r="M203" s="63"/>
      <c r="N203" s="32"/>
      <c r="O203" s="27">
        <f t="shared" ref="O203:O205" si="8">P203+Q203</f>
        <v>0</v>
      </c>
      <c r="P203" s="63"/>
      <c r="Q203" s="63"/>
      <c r="R203" s="20"/>
      <c r="AM203" s="4"/>
      <c r="AN203" s="4"/>
      <c r="AO203" s="4"/>
      <c r="AP203" s="4"/>
      <c r="AQ203" s="4"/>
      <c r="AR203" s="4"/>
    </row>
    <row r="204" spans="1:44" s="28" customFormat="1" ht="27" customHeight="1">
      <c r="A204" s="46"/>
      <c r="B204" s="23" t="s">
        <v>325</v>
      </c>
      <c r="C204" s="24" t="s">
        <v>18</v>
      </c>
      <c r="D204" s="23"/>
      <c r="E204" s="23" t="s">
        <v>36</v>
      </c>
      <c r="F204" s="23" t="s">
        <v>369</v>
      </c>
      <c r="G204" s="23" t="s">
        <v>124</v>
      </c>
      <c r="H204" s="25">
        <v>3</v>
      </c>
      <c r="I204" s="2"/>
      <c r="J204" s="26"/>
      <c r="K204" s="27">
        <f t="shared" si="7"/>
        <v>0</v>
      </c>
      <c r="L204" s="27"/>
      <c r="M204" s="27"/>
      <c r="N204" s="2"/>
      <c r="O204" s="27">
        <f t="shared" si="8"/>
        <v>0</v>
      </c>
      <c r="P204" s="27"/>
      <c r="Q204" s="27"/>
      <c r="R204" s="31"/>
    </row>
    <row r="205" spans="1:44" s="28" customFormat="1" ht="18.75" customHeight="1" thickBot="1">
      <c r="A205" s="47"/>
      <c r="B205" s="48" t="s">
        <v>325</v>
      </c>
      <c r="C205" s="49" t="s">
        <v>18</v>
      </c>
      <c r="D205" s="48"/>
      <c r="E205" s="48" t="s">
        <v>370</v>
      </c>
      <c r="F205" s="48" t="s">
        <v>371</v>
      </c>
      <c r="G205" s="48" t="s">
        <v>136</v>
      </c>
      <c r="H205" s="50">
        <v>3</v>
      </c>
      <c r="I205" s="33"/>
      <c r="J205" s="51"/>
      <c r="K205" s="27">
        <f t="shared" si="7"/>
        <v>0</v>
      </c>
      <c r="L205" s="52"/>
      <c r="M205" s="52"/>
      <c r="N205" s="33"/>
      <c r="O205" s="27">
        <f t="shared" si="8"/>
        <v>0</v>
      </c>
      <c r="P205" s="52"/>
      <c r="Q205" s="52"/>
      <c r="R205" s="31"/>
    </row>
    <row r="206" spans="1:44" s="14" customFormat="1" ht="16.5" customHeight="1">
      <c r="A206" s="87" t="s">
        <v>145</v>
      </c>
      <c r="B206" s="87"/>
      <c r="C206" s="88"/>
      <c r="D206" s="89"/>
      <c r="E206" s="89"/>
      <c r="F206" s="89"/>
      <c r="G206" s="89"/>
      <c r="H206" s="88">
        <f>SUM(H10:H205)</f>
        <v>2491</v>
      </c>
      <c r="I206" s="88">
        <f>SUM(I10:I205)</f>
        <v>1155</v>
      </c>
      <c r="J206" s="88">
        <f>SUM(J10:J205)</f>
        <v>1238</v>
      </c>
      <c r="K206" s="90">
        <f>SUM(K10:K205)</f>
        <v>478858.73000000004</v>
      </c>
      <c r="L206" s="90">
        <f t="shared" ref="L206:N206" si="9">SUM(L10:L205)</f>
        <v>478858.73000000004</v>
      </c>
      <c r="M206" s="88">
        <f t="shared" si="9"/>
        <v>0</v>
      </c>
      <c r="N206" s="88">
        <f t="shared" si="9"/>
        <v>1031</v>
      </c>
      <c r="O206" s="90">
        <f>SUM(O10:O205)</f>
        <v>2463669.6900000009</v>
      </c>
      <c r="P206" s="90">
        <f>SUM(P10:P205)</f>
        <v>2463669.6900000009</v>
      </c>
      <c r="Q206" s="90">
        <f>SUM(Q10:Q205)</f>
        <v>0</v>
      </c>
      <c r="R206" s="20"/>
      <c r="AM206" s="4"/>
      <c r="AN206" s="4"/>
      <c r="AO206" s="4"/>
      <c r="AP206" s="4"/>
      <c r="AQ206" s="4"/>
      <c r="AR206" s="4"/>
    </row>
    <row r="207" spans="1:44" s="14" customFormat="1" ht="15" customHeight="1">
      <c r="A207" s="24"/>
      <c r="B207" s="23"/>
      <c r="C207" s="24"/>
      <c r="D207" s="23"/>
      <c r="E207" s="23"/>
      <c r="F207" s="23"/>
      <c r="G207" s="23"/>
      <c r="H207" s="98"/>
      <c r="I207" s="98"/>
      <c r="J207" s="98"/>
      <c r="K207" s="98"/>
      <c r="L207" s="98"/>
      <c r="M207" s="98"/>
      <c r="N207" s="98"/>
      <c r="O207" s="98">
        <v>0</v>
      </c>
      <c r="P207" s="24"/>
      <c r="Q207" s="24"/>
      <c r="R207" s="20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12"/>
      <c r="N208" s="4"/>
      <c r="O208" s="4"/>
      <c r="P208" s="4"/>
      <c r="Q208" s="12"/>
      <c r="R208" s="20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9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15"/>
      <c r="O210" s="15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15"/>
      <c r="Q211" s="19"/>
      <c r="S211" s="20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>
      <c r="K215" s="15"/>
      <c r="L215" s="15"/>
      <c r="M215" s="15"/>
      <c r="N215" s="15"/>
      <c r="O215" s="15"/>
      <c r="P215" s="15"/>
      <c r="Q215" s="19"/>
      <c r="S215" s="20"/>
    </row>
    <row r="217" spans="1:44">
      <c r="K217" s="15"/>
      <c r="O217" s="15"/>
      <c r="P217" s="15"/>
    </row>
    <row r="220" spans="1:44">
      <c r="O220" s="15"/>
    </row>
    <row r="221" spans="1:44" s="12" customForma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15"/>
      <c r="N221" s="4"/>
      <c r="O221" s="4"/>
      <c r="P221" s="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4"/>
      <c r="AN221" s="4"/>
      <c r="AO221" s="4"/>
      <c r="AP221" s="4"/>
      <c r="AQ221" s="4"/>
      <c r="AR221" s="4"/>
    </row>
  </sheetData>
  <mergeCells count="8">
    <mergeCell ref="A206:B206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R221"/>
  <sheetViews>
    <sheetView topLeftCell="A148" zoomScale="68" zoomScaleNormal="68" workbookViewId="0">
      <selection activeCell="M149" sqref="A7:Q206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757.8</v>
      </c>
      <c r="P10" s="76">
        <v>757.8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24</v>
      </c>
      <c r="I11" s="1">
        <v>10</v>
      </c>
      <c r="J11" s="26">
        <v>10</v>
      </c>
      <c r="K11" s="27">
        <f t="shared" ref="K11:K74" si="1">L11+M11</f>
        <v>18067.2</v>
      </c>
      <c r="L11" s="27">
        <v>15858</v>
      </c>
      <c r="M11" s="27">
        <v>2209.2000000000007</v>
      </c>
      <c r="N11" s="1">
        <v>16</v>
      </c>
      <c r="O11" s="27">
        <f t="shared" ref="O11:O74" si="2">P11+Q11</f>
        <v>67766.52</v>
      </c>
      <c r="P11" s="27">
        <v>65828.320000000007</v>
      </c>
      <c r="Q11" s="27">
        <v>1938.1999999999971</v>
      </c>
      <c r="R11" s="31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31</v>
      </c>
      <c r="I12" s="1">
        <v>11</v>
      </c>
      <c r="J12" s="26">
        <v>15</v>
      </c>
      <c r="K12" s="27">
        <f t="shared" si="1"/>
        <v>6583.05</v>
      </c>
      <c r="L12" s="27"/>
      <c r="M12" s="27">
        <v>6583.05</v>
      </c>
      <c r="N12" s="1">
        <v>12</v>
      </c>
      <c r="O12" s="27">
        <f t="shared" si="2"/>
        <v>26019.82</v>
      </c>
      <c r="P12" s="27">
        <v>19746.059999999998</v>
      </c>
      <c r="Q12" s="27">
        <v>6273.76</v>
      </c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2</v>
      </c>
      <c r="I13" s="2"/>
      <c r="J13" s="26"/>
      <c r="K13" s="27">
        <f t="shared" si="1"/>
        <v>0</v>
      </c>
      <c r="L13" s="27"/>
      <c r="M13" s="27"/>
      <c r="N13" s="2"/>
      <c r="O13" s="27">
        <f t="shared" si="2"/>
        <v>8810</v>
      </c>
      <c r="P13" s="27">
        <v>8810</v>
      </c>
      <c r="Q13" s="27"/>
      <c r="R13" s="31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12</v>
      </c>
      <c r="J14" s="26">
        <v>18</v>
      </c>
      <c r="K14" s="27">
        <f t="shared" si="1"/>
        <v>14230.66</v>
      </c>
      <c r="L14" s="27"/>
      <c r="M14" s="27">
        <v>14230.66</v>
      </c>
      <c r="N14" s="1">
        <v>16</v>
      </c>
      <c r="O14" s="27">
        <f t="shared" si="2"/>
        <v>30961.32</v>
      </c>
      <c r="P14" s="27">
        <v>18700.02</v>
      </c>
      <c r="Q14" s="27">
        <v>12261.3</v>
      </c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22150.36</v>
      </c>
      <c r="L15" s="27">
        <v>22150.36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31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47</v>
      </c>
      <c r="I16" s="1">
        <v>41</v>
      </c>
      <c r="J16" s="26">
        <v>50</v>
      </c>
      <c r="K16" s="27">
        <f t="shared" si="1"/>
        <v>35564.14</v>
      </c>
      <c r="L16" s="27">
        <v>13586.04</v>
      </c>
      <c r="M16" s="27">
        <v>21978.1</v>
      </c>
      <c r="N16" s="1">
        <v>24</v>
      </c>
      <c r="O16" s="27">
        <f t="shared" si="2"/>
        <v>65062.860000000008</v>
      </c>
      <c r="P16" s="27">
        <v>47356.040000000008</v>
      </c>
      <c r="Q16" s="27">
        <v>17706.82</v>
      </c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43</v>
      </c>
      <c r="I20" s="1">
        <v>29</v>
      </c>
      <c r="J20" s="26">
        <v>30</v>
      </c>
      <c r="K20" s="27">
        <f t="shared" si="1"/>
        <v>32460.239999999998</v>
      </c>
      <c r="L20" s="27">
        <v>7945.39</v>
      </c>
      <c r="M20" s="27">
        <v>24514.85</v>
      </c>
      <c r="N20" s="1">
        <v>26</v>
      </c>
      <c r="O20" s="27">
        <f t="shared" si="2"/>
        <v>70362.899999999994</v>
      </c>
      <c r="P20" s="27">
        <v>58770.28</v>
      </c>
      <c r="Q20" s="27">
        <v>11592.62</v>
      </c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31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14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12</v>
      </c>
      <c r="O22" s="27">
        <f t="shared" si="2"/>
        <v>21286.2</v>
      </c>
      <c r="P22" s="27">
        <v>21286.2</v>
      </c>
      <c r="Q22" s="27"/>
      <c r="R22" s="31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1</v>
      </c>
      <c r="O23" s="27">
        <f t="shared" si="2"/>
        <v>6214.5599999999995</v>
      </c>
      <c r="P23" s="27">
        <v>6214.5599999999995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1"/>
        <v>0</v>
      </c>
      <c r="L24" s="27"/>
      <c r="M24" s="27"/>
      <c r="N24" s="1">
        <v>2</v>
      </c>
      <c r="O24" s="27">
        <f t="shared" si="2"/>
        <v>0</v>
      </c>
      <c r="P24" s="27"/>
      <c r="Q24" s="27"/>
      <c r="R24" s="31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/>
    </row>
    <row r="26" spans="1:38" s="28" customFormat="1" ht="15" customHeight="1">
      <c r="A26" s="41">
        <v>9</v>
      </c>
      <c r="B26" s="37" t="s">
        <v>484</v>
      </c>
      <c r="C26" s="41" t="s">
        <v>18</v>
      </c>
      <c r="D26" s="37"/>
      <c r="E26" s="37" t="s">
        <v>104</v>
      </c>
      <c r="F26" s="37" t="s">
        <v>487</v>
      </c>
      <c r="G26" s="37" t="s">
        <v>122</v>
      </c>
      <c r="H26" s="42">
        <v>5</v>
      </c>
      <c r="I26" s="40"/>
      <c r="J26" s="43"/>
      <c r="K26" s="27">
        <f t="shared" si="1"/>
        <v>0</v>
      </c>
      <c r="L26" s="39"/>
      <c r="M26" s="39"/>
      <c r="N26" s="40"/>
      <c r="O26" s="27">
        <f t="shared" si="2"/>
        <v>0</v>
      </c>
      <c r="P26" s="39"/>
      <c r="Q26" s="39"/>
      <c r="R26" s="31"/>
    </row>
    <row r="27" spans="1:3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f t="shared" si="1"/>
        <v>4086.08</v>
      </c>
      <c r="L27" s="27">
        <v>4086.08</v>
      </c>
      <c r="M27" s="27"/>
      <c r="N27" s="1">
        <v>3</v>
      </c>
      <c r="O27" s="27">
        <f t="shared" si="2"/>
        <v>0</v>
      </c>
      <c r="P27" s="27"/>
      <c r="Q27" s="27"/>
      <c r="R27" s="20"/>
    </row>
    <row r="28" spans="1:3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14</v>
      </c>
      <c r="I28" s="1">
        <v>8</v>
      </c>
      <c r="J28" s="44">
        <v>11</v>
      </c>
      <c r="K28" s="27">
        <f t="shared" si="1"/>
        <v>18888.64</v>
      </c>
      <c r="L28" s="27"/>
      <c r="M28" s="27">
        <v>18888.64</v>
      </c>
      <c r="N28" s="1">
        <v>4</v>
      </c>
      <c r="O28" s="27">
        <f t="shared" si="2"/>
        <v>12527.2</v>
      </c>
      <c r="P28" s="27">
        <v>12527.2</v>
      </c>
      <c r="Q28" s="27"/>
      <c r="R28" s="20"/>
    </row>
    <row r="29" spans="1:38" s="28" customFormat="1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f t="shared" si="1"/>
        <v>0</v>
      </c>
      <c r="L29" s="27"/>
      <c r="M29" s="27"/>
      <c r="N29" s="1">
        <v>2</v>
      </c>
      <c r="O29" s="27">
        <f t="shared" si="2"/>
        <v>3259.7</v>
      </c>
      <c r="P29" s="27">
        <v>2643</v>
      </c>
      <c r="Q29" s="27">
        <v>616.70000000000005</v>
      </c>
      <c r="R29" s="31"/>
    </row>
    <row r="30" spans="1:38" s="7" customFormat="1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21</v>
      </c>
      <c r="I30" s="1">
        <v>18</v>
      </c>
      <c r="J30" s="26">
        <v>19</v>
      </c>
      <c r="K30" s="27">
        <f t="shared" si="1"/>
        <v>14723.62</v>
      </c>
      <c r="L30" s="27">
        <v>1837.77</v>
      </c>
      <c r="M30" s="27">
        <v>12885.85</v>
      </c>
      <c r="N30" s="1">
        <v>18</v>
      </c>
      <c r="O30" s="27">
        <f t="shared" si="2"/>
        <v>20737.96</v>
      </c>
      <c r="P30" s="27">
        <v>16013.28</v>
      </c>
      <c r="Q30" s="27">
        <v>4724.68</v>
      </c>
      <c r="R30" s="20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1:38" s="28" customFormat="1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f t="shared" si="1"/>
        <v>0</v>
      </c>
      <c r="L31" s="27"/>
      <c r="M31" s="27"/>
      <c r="N31" s="2">
        <v>4</v>
      </c>
      <c r="O31" s="27">
        <f t="shared" si="2"/>
        <v>0</v>
      </c>
      <c r="P31" s="27"/>
      <c r="Q31" s="27"/>
      <c r="R31" s="31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f t="shared" si="1"/>
        <v>2819.2</v>
      </c>
      <c r="L32" s="27">
        <v>2819.2</v>
      </c>
      <c r="M32" s="27"/>
      <c r="N32" s="2">
        <v>5</v>
      </c>
      <c r="O32" s="27">
        <f t="shared" si="2"/>
        <v>4921.8999999999996</v>
      </c>
      <c r="P32" s="27">
        <v>2631.3</v>
      </c>
      <c r="Q32" s="27">
        <v>2290.6</v>
      </c>
      <c r="R32" s="31"/>
    </row>
    <row r="33" spans="1:38" s="7" customFormat="1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21</v>
      </c>
      <c r="I33" s="1">
        <v>15</v>
      </c>
      <c r="J33" s="26">
        <v>22</v>
      </c>
      <c r="K33" s="27">
        <f t="shared" si="1"/>
        <v>6122.51</v>
      </c>
      <c r="L33" s="27">
        <v>6122.51</v>
      </c>
      <c r="M33" s="27"/>
      <c r="N33" s="1">
        <v>15</v>
      </c>
      <c r="O33" s="27">
        <f t="shared" si="2"/>
        <v>51128.020000000004</v>
      </c>
      <c r="P33" s="27">
        <v>38408.44</v>
      </c>
      <c r="Q33" s="27">
        <v>12719.58</v>
      </c>
      <c r="R33" s="20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1:38" s="28" customFormat="1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6</v>
      </c>
      <c r="I34" s="2">
        <v>2</v>
      </c>
      <c r="J34" s="26">
        <v>2</v>
      </c>
      <c r="K34" s="27">
        <f t="shared" si="1"/>
        <v>1380.75</v>
      </c>
      <c r="L34" s="27">
        <v>1380.75</v>
      </c>
      <c r="M34" s="27"/>
      <c r="N34" s="2">
        <v>4</v>
      </c>
      <c r="O34" s="27">
        <f t="shared" si="2"/>
        <v>2995.4</v>
      </c>
      <c r="P34" s="27">
        <v>2995.4</v>
      </c>
      <c r="Q34" s="27"/>
      <c r="R34" s="31"/>
    </row>
    <row r="35" spans="1:3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f t="shared" si="1"/>
        <v>0</v>
      </c>
      <c r="L35" s="27"/>
      <c r="M35" s="27"/>
      <c r="N35" s="1">
        <v>5</v>
      </c>
      <c r="O35" s="27">
        <f t="shared" si="2"/>
        <v>16623.7</v>
      </c>
      <c r="P35" s="27">
        <v>10226.050000000001</v>
      </c>
      <c r="Q35" s="27">
        <v>6397.65</v>
      </c>
      <c r="R35" s="20"/>
    </row>
    <row r="36" spans="1:38" s="28" customFormat="1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f t="shared" si="1"/>
        <v>528.6</v>
      </c>
      <c r="L36" s="27"/>
      <c r="M36" s="27">
        <v>528.6</v>
      </c>
      <c r="N36" s="1">
        <v>7</v>
      </c>
      <c r="O36" s="27">
        <f t="shared" si="2"/>
        <v>18317.34</v>
      </c>
      <c r="P36" s="27">
        <v>18317.34</v>
      </c>
      <c r="Q36" s="27"/>
      <c r="R36" s="31"/>
    </row>
    <row r="37" spans="1:38" s="7" customFormat="1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15</v>
      </c>
      <c r="I37" s="1">
        <v>5</v>
      </c>
      <c r="J37" s="26">
        <v>5</v>
      </c>
      <c r="K37" s="27">
        <f t="shared" si="1"/>
        <v>0</v>
      </c>
      <c r="L37" s="27"/>
      <c r="M37" s="27"/>
      <c r="N37" s="1">
        <v>10</v>
      </c>
      <c r="O37" s="27">
        <f t="shared" si="2"/>
        <v>11156.02</v>
      </c>
      <c r="P37" s="27">
        <v>11156.02</v>
      </c>
      <c r="Q37" s="27"/>
      <c r="R37" s="20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1:38" s="28" customFormat="1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16</v>
      </c>
      <c r="I38" s="2">
        <v>1</v>
      </c>
      <c r="J38" s="26">
        <v>1</v>
      </c>
      <c r="K38" s="27">
        <f t="shared" si="1"/>
        <v>10193.5</v>
      </c>
      <c r="L38" s="27">
        <v>10193.5</v>
      </c>
      <c r="M38" s="27"/>
      <c r="N38" s="2">
        <v>6</v>
      </c>
      <c r="O38" s="27">
        <f t="shared" si="2"/>
        <v>15946.1</v>
      </c>
      <c r="P38" s="27">
        <v>14888.9</v>
      </c>
      <c r="Q38" s="27">
        <v>1057.2</v>
      </c>
      <c r="R38" s="31"/>
    </row>
    <row r="39" spans="1:3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19</v>
      </c>
      <c r="I39" s="1">
        <v>13</v>
      </c>
      <c r="J39" s="26">
        <v>15</v>
      </c>
      <c r="K39" s="27">
        <f t="shared" si="1"/>
        <v>17627.599999999999</v>
      </c>
      <c r="L39" s="27">
        <v>5154.01</v>
      </c>
      <c r="M39" s="27">
        <v>12473.59</v>
      </c>
      <c r="N39" s="1">
        <v>12</v>
      </c>
      <c r="O39" s="27">
        <f t="shared" si="2"/>
        <v>28541.43</v>
      </c>
      <c r="P39" s="27">
        <v>24143.260000000002</v>
      </c>
      <c r="Q39" s="27">
        <v>4398.17</v>
      </c>
      <c r="R39" s="20"/>
    </row>
    <row r="40" spans="1:38" s="28" customFormat="1" ht="14.4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17</v>
      </c>
      <c r="I40" s="2">
        <v>3</v>
      </c>
      <c r="J40" s="26">
        <v>3</v>
      </c>
      <c r="K40" s="27">
        <f t="shared" si="1"/>
        <v>5814.6</v>
      </c>
      <c r="L40" s="27">
        <v>3700.2</v>
      </c>
      <c r="M40" s="27">
        <v>2114.4</v>
      </c>
      <c r="N40" s="2">
        <v>10</v>
      </c>
      <c r="O40" s="27">
        <f t="shared" si="2"/>
        <v>23225.599999999999</v>
      </c>
      <c r="P40" s="27">
        <v>21408.3</v>
      </c>
      <c r="Q40" s="27">
        <v>1817.3</v>
      </c>
      <c r="R40" s="31"/>
    </row>
    <row r="41" spans="1:3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13</v>
      </c>
      <c r="I41" s="1">
        <v>9</v>
      </c>
      <c r="J41" s="26">
        <v>10</v>
      </c>
      <c r="K41" s="27">
        <f t="shared" si="1"/>
        <v>1131.2</v>
      </c>
      <c r="L41" s="27">
        <v>1131.2</v>
      </c>
      <c r="M41" s="27"/>
      <c r="N41" s="1">
        <v>6</v>
      </c>
      <c r="O41" s="27">
        <f t="shared" si="2"/>
        <v>4817.32</v>
      </c>
      <c r="P41" s="27">
        <v>4817.32</v>
      </c>
      <c r="Q41" s="27"/>
      <c r="R41" s="20"/>
    </row>
    <row r="42" spans="1:38" s="28" customFormat="1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13</v>
      </c>
      <c r="I42" s="1"/>
      <c r="J42" s="26"/>
      <c r="K42" s="27">
        <f t="shared" si="1"/>
        <v>0</v>
      </c>
      <c r="L42" s="27"/>
      <c r="M42" s="27"/>
      <c r="N42" s="1">
        <v>5</v>
      </c>
      <c r="O42" s="27">
        <f t="shared" si="2"/>
        <v>6497.99</v>
      </c>
      <c r="P42" s="27">
        <v>6497.99</v>
      </c>
      <c r="Q42" s="27"/>
      <c r="R42" s="31"/>
    </row>
    <row r="43" spans="1:38" s="7" customFormat="1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25</v>
      </c>
      <c r="I43" s="1"/>
      <c r="J43" s="26"/>
      <c r="K43" s="27">
        <f t="shared" si="1"/>
        <v>15890.44</v>
      </c>
      <c r="L43" s="27"/>
      <c r="M43" s="27">
        <v>15890.44</v>
      </c>
      <c r="N43" s="1"/>
      <c r="O43" s="27">
        <f t="shared" si="2"/>
        <v>24085.699999999997</v>
      </c>
      <c r="P43" s="27">
        <v>7158.4</v>
      </c>
      <c r="Q43" s="27">
        <v>16927.3</v>
      </c>
      <c r="R43" s="20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 spans="1:38" s="28" customFormat="1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f t="shared" si="1"/>
        <v>0</v>
      </c>
      <c r="L44" s="27"/>
      <c r="M44" s="27"/>
      <c r="N44" s="2"/>
      <c r="O44" s="27">
        <f t="shared" si="2"/>
        <v>0</v>
      </c>
      <c r="P44" s="27"/>
      <c r="Q44" s="27"/>
      <c r="R44" s="31"/>
    </row>
    <row r="45" spans="1:3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f t="shared" si="1"/>
        <v>0</v>
      </c>
      <c r="L45" s="27"/>
      <c r="M45" s="27"/>
      <c r="N45" s="1">
        <v>5</v>
      </c>
      <c r="O45" s="27">
        <f t="shared" si="2"/>
        <v>34238.410000000003</v>
      </c>
      <c r="P45" s="27">
        <v>34238.410000000003</v>
      </c>
      <c r="Q45" s="27"/>
      <c r="R45" s="20"/>
    </row>
    <row r="46" spans="1:38" s="28" customFormat="1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10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6431.3</v>
      </c>
      <c r="P46" s="27">
        <v>6431.3</v>
      </c>
      <c r="Q46" s="27"/>
      <c r="R46" s="31"/>
    </row>
    <row r="47" spans="1:3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f t="shared" si="1"/>
        <v>0</v>
      </c>
      <c r="L47" s="27"/>
      <c r="M47" s="27"/>
      <c r="N47" s="1">
        <v>10</v>
      </c>
      <c r="O47" s="27">
        <f t="shared" si="2"/>
        <v>22402.989999999998</v>
      </c>
      <c r="P47" s="27">
        <v>15929.75</v>
      </c>
      <c r="Q47" s="27">
        <v>6473.24</v>
      </c>
      <c r="R47" s="20"/>
    </row>
    <row r="48" spans="1:38" s="28" customFormat="1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10</v>
      </c>
      <c r="I48" s="1">
        <v>2</v>
      </c>
      <c r="J48" s="26">
        <v>2</v>
      </c>
      <c r="K48" s="27">
        <f t="shared" si="1"/>
        <v>0</v>
      </c>
      <c r="L48" s="27"/>
      <c r="M48" s="27"/>
      <c r="N48" s="1">
        <v>9</v>
      </c>
      <c r="O48" s="27">
        <f t="shared" si="2"/>
        <v>20020.73</v>
      </c>
      <c r="P48" s="27">
        <v>20020.73</v>
      </c>
      <c r="Q48" s="27"/>
      <c r="R48" s="31"/>
    </row>
    <row r="49" spans="1:3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19</v>
      </c>
      <c r="I49" s="1">
        <v>16</v>
      </c>
      <c r="J49" s="26">
        <v>17</v>
      </c>
      <c r="K49" s="27">
        <f t="shared" si="1"/>
        <v>8384.2800000000007</v>
      </c>
      <c r="L49" s="27">
        <v>8384.2800000000007</v>
      </c>
      <c r="M49" s="27"/>
      <c r="N49" s="1"/>
      <c r="O49" s="27">
        <f t="shared" si="2"/>
        <v>0</v>
      </c>
      <c r="P49" s="27"/>
      <c r="Q49" s="27"/>
      <c r="R49" s="20"/>
    </row>
    <row r="50" spans="1:38" s="28" customFormat="1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11</v>
      </c>
      <c r="I50" s="1">
        <v>2</v>
      </c>
      <c r="J50" s="26">
        <v>2</v>
      </c>
      <c r="K50" s="27">
        <f t="shared" si="1"/>
        <v>4050.2</v>
      </c>
      <c r="L50" s="27"/>
      <c r="M50" s="27">
        <v>4050.2</v>
      </c>
      <c r="N50" s="1"/>
      <c r="O50" s="27">
        <f t="shared" si="2"/>
        <v>0</v>
      </c>
      <c r="P50" s="27"/>
      <c r="Q50" s="27"/>
      <c r="R50" s="31"/>
    </row>
    <row r="51" spans="1:3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15</v>
      </c>
      <c r="I51" s="1">
        <v>15</v>
      </c>
      <c r="J51" s="26">
        <v>17</v>
      </c>
      <c r="K51" s="27">
        <f t="shared" si="1"/>
        <v>6913.6</v>
      </c>
      <c r="L51" s="27">
        <v>6913.6</v>
      </c>
      <c r="M51" s="27"/>
      <c r="N51" s="1">
        <v>8</v>
      </c>
      <c r="O51" s="27">
        <f t="shared" si="2"/>
        <v>21680.73</v>
      </c>
      <c r="P51" s="27">
        <v>21680.73</v>
      </c>
      <c r="Q51" s="27"/>
      <c r="R51" s="20"/>
    </row>
    <row r="52" spans="1:38" s="28" customFormat="1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f t="shared" si="1"/>
        <v>0</v>
      </c>
      <c r="L52" s="27"/>
      <c r="M52" s="27"/>
      <c r="N52" s="1"/>
      <c r="O52" s="27">
        <f t="shared" si="2"/>
        <v>0</v>
      </c>
      <c r="P52" s="27"/>
      <c r="Q52" s="27"/>
      <c r="R52" s="31"/>
    </row>
    <row r="53" spans="1:3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f t="shared" si="1"/>
        <v>0</v>
      </c>
      <c r="L53" s="27"/>
      <c r="M53" s="27"/>
      <c r="N53" s="1">
        <v>10</v>
      </c>
      <c r="O53" s="27">
        <f t="shared" si="2"/>
        <v>0</v>
      </c>
      <c r="P53" s="27"/>
      <c r="Q53" s="27"/>
      <c r="R53" s="20"/>
    </row>
    <row r="54" spans="1:38" s="7" customFormat="1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26</v>
      </c>
      <c r="I54" s="1">
        <v>10</v>
      </c>
      <c r="J54" s="26">
        <v>10</v>
      </c>
      <c r="K54" s="27">
        <f t="shared" si="1"/>
        <v>0</v>
      </c>
      <c r="L54" s="27"/>
      <c r="M54" s="27"/>
      <c r="N54" s="1">
        <v>10</v>
      </c>
      <c r="O54" s="27">
        <f t="shared" si="2"/>
        <v>44392.14</v>
      </c>
      <c r="P54" s="27">
        <v>35131.58</v>
      </c>
      <c r="Q54" s="27">
        <v>9260.56</v>
      </c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s="28" customFormat="1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11</v>
      </c>
      <c r="I55" s="2">
        <v>1</v>
      </c>
      <c r="J55" s="26">
        <v>1</v>
      </c>
      <c r="K55" s="27">
        <f t="shared" si="1"/>
        <v>2819.2</v>
      </c>
      <c r="L55" s="27">
        <v>2819.2</v>
      </c>
      <c r="M55" s="27"/>
      <c r="N55" s="2">
        <v>2</v>
      </c>
      <c r="O55" s="27">
        <f t="shared" si="2"/>
        <v>6343.2</v>
      </c>
      <c r="P55" s="27">
        <v>2819.2</v>
      </c>
      <c r="Q55" s="27">
        <v>3524</v>
      </c>
      <c r="R55" s="31"/>
    </row>
    <row r="56" spans="1:38" s="28" customFormat="1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f t="shared" si="1"/>
        <v>0</v>
      </c>
      <c r="L56" s="27"/>
      <c r="M56" s="27"/>
      <c r="N56" s="2"/>
      <c r="O56" s="27">
        <f t="shared" si="2"/>
        <v>0</v>
      </c>
      <c r="P56" s="27"/>
      <c r="Q56" s="27"/>
      <c r="R56" s="31"/>
    </row>
    <row r="57" spans="1:38" s="28" customFormat="1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30</v>
      </c>
      <c r="I57" s="2">
        <v>1</v>
      </c>
      <c r="J57" s="26">
        <v>1</v>
      </c>
      <c r="K57" s="27">
        <f>L57+M57</f>
        <v>6630</v>
      </c>
      <c r="L57" s="27">
        <v>6630</v>
      </c>
      <c r="M57" s="27"/>
      <c r="N57" s="2"/>
      <c r="O57" s="27">
        <f>P57+Q57</f>
        <v>0</v>
      </c>
      <c r="P57" s="28">
        <v>0</v>
      </c>
      <c r="Q57" s="27"/>
      <c r="R57" s="31"/>
    </row>
    <row r="58" spans="1:38" s="8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f t="shared" si="1"/>
        <v>0</v>
      </c>
      <c r="L58" s="83"/>
      <c r="M58" s="83"/>
      <c r="N58" s="26"/>
      <c r="O58" s="27">
        <f t="shared" si="2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16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44</v>
      </c>
      <c r="I60" s="26">
        <v>20</v>
      </c>
      <c r="J60" s="26">
        <v>20</v>
      </c>
      <c r="K60" s="27">
        <f t="shared" si="1"/>
        <v>12981.51</v>
      </c>
      <c r="L60" s="83">
        <v>12981.51</v>
      </c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7" customFormat="1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34</v>
      </c>
      <c r="I61" s="1">
        <v>21</v>
      </c>
      <c r="J61" s="26">
        <v>21</v>
      </c>
      <c r="K61" s="27">
        <f t="shared" si="1"/>
        <v>26838.02</v>
      </c>
      <c r="L61" s="27">
        <v>16237.82</v>
      </c>
      <c r="M61" s="27">
        <v>10600.2</v>
      </c>
      <c r="N61" s="1">
        <v>16</v>
      </c>
      <c r="O61" s="27">
        <f t="shared" si="2"/>
        <v>28261.599999999999</v>
      </c>
      <c r="P61" s="27">
        <v>28261.599999999999</v>
      </c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31</v>
      </c>
      <c r="I62" s="1">
        <v>15</v>
      </c>
      <c r="J62" s="26">
        <v>17</v>
      </c>
      <c r="K62" s="27">
        <f t="shared" si="1"/>
        <v>12863.92</v>
      </c>
      <c r="L62" s="27">
        <v>1602.98</v>
      </c>
      <c r="M62" s="27">
        <v>11260.94</v>
      </c>
      <c r="N62" s="1">
        <v>12</v>
      </c>
      <c r="O62" s="27">
        <f t="shared" si="2"/>
        <v>37111.350000000006</v>
      </c>
      <c r="P62" s="27">
        <v>37111.350000000006</v>
      </c>
      <c r="Q62" s="27"/>
      <c r="R62" s="20"/>
    </row>
    <row r="63" spans="1:38" s="28" customFormat="1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19</v>
      </c>
      <c r="I63" s="1">
        <v>4</v>
      </c>
      <c r="J63" s="26">
        <v>4</v>
      </c>
      <c r="K63" s="27">
        <f t="shared" si="1"/>
        <v>5685.8</v>
      </c>
      <c r="L63" s="27">
        <v>4581.2</v>
      </c>
      <c r="M63" s="27">
        <v>1104.6000000000004</v>
      </c>
      <c r="N63" s="1">
        <v>11</v>
      </c>
      <c r="O63" s="27">
        <f t="shared" si="2"/>
        <v>29272.9</v>
      </c>
      <c r="P63" s="27">
        <v>28720.6</v>
      </c>
      <c r="Q63" s="27">
        <v>552.30000000000291</v>
      </c>
      <c r="R63" s="31"/>
    </row>
    <row r="64" spans="1:38" s="7" customFormat="1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16</v>
      </c>
      <c r="K64" s="27">
        <f t="shared" si="1"/>
        <v>20736.11</v>
      </c>
      <c r="L64" s="27"/>
      <c r="M64" s="27">
        <v>20736.11</v>
      </c>
      <c r="N64" s="1">
        <v>21</v>
      </c>
      <c r="O64" s="27">
        <f t="shared" si="2"/>
        <v>26863.22</v>
      </c>
      <c r="P64" s="27">
        <v>26863.22</v>
      </c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s="28" customFormat="1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f t="shared" si="1"/>
        <v>10924.4</v>
      </c>
      <c r="L65" s="27">
        <v>3876.4</v>
      </c>
      <c r="M65" s="27">
        <v>7048</v>
      </c>
      <c r="N65" s="1">
        <v>19</v>
      </c>
      <c r="O65" s="27">
        <f t="shared" si="2"/>
        <v>51996.62</v>
      </c>
      <c r="P65" s="27">
        <v>47944.02</v>
      </c>
      <c r="Q65" s="27">
        <v>4052.6000000000058</v>
      </c>
      <c r="R65" s="31"/>
    </row>
    <row r="66" spans="1:38" s="7" customFormat="1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5</v>
      </c>
      <c r="J66" s="26">
        <v>5</v>
      </c>
      <c r="K66" s="27">
        <f t="shared" si="1"/>
        <v>6395.62</v>
      </c>
      <c r="L66" s="27"/>
      <c r="M66" s="27">
        <v>6395.62</v>
      </c>
      <c r="N66" s="1">
        <v>5</v>
      </c>
      <c r="O66" s="27">
        <f t="shared" si="2"/>
        <v>11007.39</v>
      </c>
      <c r="P66" s="27">
        <v>7690.6</v>
      </c>
      <c r="Q66" s="27">
        <v>3316.79</v>
      </c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15</v>
      </c>
      <c r="I67" s="1">
        <v>9</v>
      </c>
      <c r="J67" s="26">
        <v>9</v>
      </c>
      <c r="K67" s="27">
        <f t="shared" si="1"/>
        <v>0</v>
      </c>
      <c r="L67" s="27"/>
      <c r="M67" s="27"/>
      <c r="N67" s="1">
        <v>9</v>
      </c>
      <c r="O67" s="27">
        <f t="shared" si="2"/>
        <v>100020.28</v>
      </c>
      <c r="P67" s="27">
        <v>85225.84</v>
      </c>
      <c r="Q67" s="27">
        <v>14794.44</v>
      </c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28" customFormat="1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f t="shared" si="1"/>
        <v>0</v>
      </c>
      <c r="L68" s="27"/>
      <c r="M68" s="27"/>
      <c r="N68" s="1">
        <v>4</v>
      </c>
      <c r="O68" s="27">
        <f t="shared" si="2"/>
        <v>8772.65</v>
      </c>
      <c r="P68" s="27">
        <v>6563.45</v>
      </c>
      <c r="Q68" s="27">
        <v>2209.1999999999998</v>
      </c>
      <c r="R68" s="31"/>
    </row>
    <row r="69" spans="1:3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18</v>
      </c>
      <c r="I69" s="1">
        <v>9</v>
      </c>
      <c r="J69" s="26">
        <v>10</v>
      </c>
      <c r="K69" s="27">
        <f t="shared" si="1"/>
        <v>1046.6300000000001</v>
      </c>
      <c r="L69" s="27">
        <v>1046.6300000000001</v>
      </c>
      <c r="M69" s="27"/>
      <c r="N69" s="1">
        <v>7</v>
      </c>
      <c r="O69" s="27">
        <f t="shared" si="2"/>
        <v>6874.29</v>
      </c>
      <c r="P69" s="27">
        <v>6874.29</v>
      </c>
      <c r="Q69" s="27"/>
      <c r="R69" s="20"/>
    </row>
    <row r="70" spans="1:38" s="28" customFormat="1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12</v>
      </c>
      <c r="I70" s="2">
        <v>4</v>
      </c>
      <c r="J70" s="26">
        <v>4</v>
      </c>
      <c r="K70" s="27">
        <f t="shared" si="1"/>
        <v>3171.6</v>
      </c>
      <c r="L70" s="27"/>
      <c r="M70" s="27">
        <v>3171.6</v>
      </c>
      <c r="N70" s="2">
        <v>5</v>
      </c>
      <c r="O70" s="27">
        <f t="shared" si="2"/>
        <v>6756.51</v>
      </c>
      <c r="P70" s="27">
        <v>3524</v>
      </c>
      <c r="Q70" s="27">
        <v>3232.51</v>
      </c>
      <c r="R70" s="31"/>
    </row>
    <row r="71" spans="1:3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29</v>
      </c>
      <c r="I71" s="2">
        <v>20</v>
      </c>
      <c r="J71" s="26">
        <v>20</v>
      </c>
      <c r="K71" s="27">
        <f t="shared" si="1"/>
        <v>3127.55</v>
      </c>
      <c r="L71" s="27">
        <v>3127.55</v>
      </c>
      <c r="M71" s="27"/>
      <c r="N71" s="2"/>
      <c r="O71" s="27">
        <f t="shared" si="2"/>
        <v>0</v>
      </c>
      <c r="P71" s="27"/>
      <c r="Q71" s="27"/>
      <c r="R71" s="20"/>
    </row>
    <row r="72" spans="1:38" s="7" customFormat="1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37</v>
      </c>
      <c r="I72" s="1">
        <v>22</v>
      </c>
      <c r="J72" s="26">
        <v>23</v>
      </c>
      <c r="K72" s="27">
        <f t="shared" si="1"/>
        <v>12414.92</v>
      </c>
      <c r="L72" s="27">
        <v>2199.6799999999998</v>
      </c>
      <c r="M72" s="27">
        <v>10215.24</v>
      </c>
      <c r="N72" s="1">
        <v>21</v>
      </c>
      <c r="O72" s="27">
        <f t="shared" si="2"/>
        <v>109028.81999999999</v>
      </c>
      <c r="P72" s="27">
        <v>87678.12</v>
      </c>
      <c r="Q72" s="27">
        <v>21350.7</v>
      </c>
      <c r="R72" s="20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1:38" s="28" customFormat="1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f t="shared" si="1"/>
        <v>0</v>
      </c>
      <c r="L73" s="27"/>
      <c r="M73" s="27"/>
      <c r="N73" s="2"/>
      <c r="O73" s="27">
        <f t="shared" si="2"/>
        <v>0</v>
      </c>
      <c r="P73" s="27"/>
      <c r="Q73" s="27"/>
      <c r="R73" s="31"/>
    </row>
    <row r="74" spans="1:3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37</v>
      </c>
      <c r="I74" s="1">
        <v>23</v>
      </c>
      <c r="J74" s="26">
        <v>23</v>
      </c>
      <c r="K74" s="27">
        <f t="shared" si="1"/>
        <v>24129.81</v>
      </c>
      <c r="L74" s="27">
        <v>16430.45</v>
      </c>
      <c r="M74" s="27">
        <v>7699.36</v>
      </c>
      <c r="N74" s="1">
        <v>8</v>
      </c>
      <c r="O74" s="27">
        <f t="shared" si="2"/>
        <v>31150.39</v>
      </c>
      <c r="P74" s="27">
        <v>28062.41</v>
      </c>
      <c r="Q74" s="27">
        <f>2198.98+889</f>
        <v>3087.98</v>
      </c>
      <c r="R74" s="20"/>
    </row>
    <row r="75" spans="1:38" s="28" customFormat="1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476</v>
      </c>
      <c r="G75" s="23" t="s">
        <v>124</v>
      </c>
      <c r="H75" s="25">
        <v>0</v>
      </c>
      <c r="I75" s="1"/>
      <c r="J75" s="26"/>
      <c r="K75" s="27">
        <f t="shared" ref="K75:K138" si="3">L75+M75</f>
        <v>0</v>
      </c>
      <c r="L75" s="27"/>
      <c r="M75" s="27"/>
      <c r="N75" s="1">
        <v>1</v>
      </c>
      <c r="O75" s="27">
        <f t="shared" ref="O75:O138" si="4">P75+Q75</f>
        <v>2146.4</v>
      </c>
      <c r="P75" s="27">
        <v>2146.4</v>
      </c>
      <c r="Q75" s="27"/>
      <c r="R75" s="31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11</v>
      </c>
      <c r="I76" s="1">
        <v>1</v>
      </c>
      <c r="J76" s="26">
        <v>1</v>
      </c>
      <c r="K76" s="27">
        <f t="shared" si="3"/>
        <v>5072.1000000000004</v>
      </c>
      <c r="L76" s="27">
        <v>5072.1000000000004</v>
      </c>
      <c r="M76" s="27"/>
      <c r="N76" s="1">
        <v>8</v>
      </c>
      <c r="O76" s="27">
        <f t="shared" si="4"/>
        <v>42935.74</v>
      </c>
      <c r="P76" s="27">
        <v>42935.74</v>
      </c>
      <c r="Q76" s="27"/>
      <c r="R76" s="31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f t="shared" si="3"/>
        <v>0</v>
      </c>
      <c r="L77" s="27"/>
      <c r="M77" s="27"/>
      <c r="N77" s="1">
        <v>10</v>
      </c>
      <c r="O77" s="27">
        <f t="shared" si="4"/>
        <v>9489.91</v>
      </c>
      <c r="P77" s="27">
        <v>9489.91</v>
      </c>
      <c r="Q77" s="27"/>
      <c r="R77" s="31"/>
    </row>
    <row r="78" spans="1:3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20</v>
      </c>
      <c r="I78" s="1">
        <v>8</v>
      </c>
      <c r="J78" s="26">
        <v>8</v>
      </c>
      <c r="K78" s="27">
        <f t="shared" si="3"/>
        <v>4400.6000000000004</v>
      </c>
      <c r="L78" s="27">
        <v>4400.6000000000004</v>
      </c>
      <c r="M78" s="27"/>
      <c r="N78" s="1">
        <v>17</v>
      </c>
      <c r="O78" s="27">
        <f t="shared" si="4"/>
        <v>67887.14</v>
      </c>
      <c r="P78" s="27">
        <v>46129.759999999995</v>
      </c>
      <c r="Q78" s="27">
        <v>21757.38</v>
      </c>
      <c r="R78" s="20"/>
    </row>
    <row r="79" spans="1:38" s="28" customFormat="1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22</v>
      </c>
      <c r="I79" s="2"/>
      <c r="J79" s="26"/>
      <c r="K79" s="27">
        <f t="shared" si="3"/>
        <v>6343.2</v>
      </c>
      <c r="L79" s="27">
        <v>6343.2</v>
      </c>
      <c r="M79" s="27"/>
      <c r="N79" s="2">
        <v>13</v>
      </c>
      <c r="O79" s="27">
        <f t="shared" si="4"/>
        <v>59901.36</v>
      </c>
      <c r="P79" s="27">
        <v>58051.26</v>
      </c>
      <c r="Q79" s="27">
        <v>1850.1</v>
      </c>
      <c r="R79" s="31"/>
    </row>
    <row r="80" spans="1:38" s="17" customFormat="1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f t="shared" si="3"/>
        <v>0</v>
      </c>
      <c r="L80" s="27"/>
      <c r="M80" s="27"/>
      <c r="N80" s="2">
        <v>5</v>
      </c>
      <c r="O80" s="27">
        <f t="shared" si="4"/>
        <v>10043.4</v>
      </c>
      <c r="P80" s="27"/>
      <c r="Q80" s="27">
        <v>10043.4</v>
      </c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s="28" customFormat="1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9</v>
      </c>
      <c r="I81" s="1"/>
      <c r="J81" s="26"/>
      <c r="K81" s="27">
        <f t="shared" si="3"/>
        <v>0</v>
      </c>
      <c r="L81" s="27"/>
      <c r="M81" s="27"/>
      <c r="N81" s="1">
        <v>11</v>
      </c>
      <c r="O81" s="27">
        <f t="shared" si="4"/>
        <v>16465.599999999999</v>
      </c>
      <c r="P81" s="27">
        <v>14624.6</v>
      </c>
      <c r="Q81" s="27">
        <v>1840.9999999999982</v>
      </c>
      <c r="R81" s="31"/>
    </row>
    <row r="82" spans="1:3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19</v>
      </c>
      <c r="I82" s="1">
        <v>10</v>
      </c>
      <c r="J82" s="26">
        <v>10</v>
      </c>
      <c r="K82" s="27">
        <f t="shared" si="3"/>
        <v>0</v>
      </c>
      <c r="L82" s="27"/>
      <c r="M82" s="27"/>
      <c r="N82" s="1"/>
      <c r="O82" s="27">
        <f t="shared" si="4"/>
        <v>0</v>
      </c>
      <c r="P82" s="27"/>
      <c r="Q82" s="27"/>
      <c r="R82" s="20"/>
    </row>
    <row r="83" spans="1:38" s="28" customFormat="1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11</v>
      </c>
      <c r="I83" s="1"/>
      <c r="J83" s="26"/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31"/>
    </row>
    <row r="84" spans="1:38" s="17" customFormat="1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75</v>
      </c>
      <c r="I84" s="1">
        <v>42</v>
      </c>
      <c r="J84" s="26">
        <v>42</v>
      </c>
      <c r="K84" s="27">
        <f t="shared" si="3"/>
        <v>47012.42</v>
      </c>
      <c r="L84" s="27">
        <v>26106.489999999998</v>
      </c>
      <c r="M84" s="27">
        <v>20905.93</v>
      </c>
      <c r="N84" s="1">
        <v>2</v>
      </c>
      <c r="O84" s="27">
        <f t="shared" si="4"/>
        <v>9777.93</v>
      </c>
      <c r="P84" s="27">
        <v>9777.93</v>
      </c>
      <c r="Q84" s="27"/>
      <c r="R84" s="20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:38" s="28" customFormat="1" ht="15" customHeight="1">
      <c r="A85" s="41">
        <v>42</v>
      </c>
      <c r="B85" s="37" t="s">
        <v>486</v>
      </c>
      <c r="C85" s="41" t="s">
        <v>18</v>
      </c>
      <c r="D85" s="37"/>
      <c r="E85" s="37" t="s">
        <v>488</v>
      </c>
      <c r="F85" s="37" t="s">
        <v>268</v>
      </c>
      <c r="G85" s="37" t="s">
        <v>131</v>
      </c>
      <c r="H85" s="42">
        <v>3</v>
      </c>
      <c r="I85" s="40"/>
      <c r="J85" s="43"/>
      <c r="K85" s="27">
        <f t="shared" si="3"/>
        <v>0</v>
      </c>
      <c r="L85" s="39"/>
      <c r="M85" s="39"/>
      <c r="N85" s="40"/>
      <c r="O85" s="27">
        <f t="shared" si="4"/>
        <v>0</v>
      </c>
      <c r="P85" s="39"/>
      <c r="Q85" s="39"/>
      <c r="R85" s="31"/>
    </row>
    <row r="86" spans="1:38" s="7" customFormat="1" ht="15" customHeight="1">
      <c r="A86" s="24">
        <v>43</v>
      </c>
      <c r="B86" s="23" t="s">
        <v>65</v>
      </c>
      <c r="C86" s="24" t="s">
        <v>18</v>
      </c>
      <c r="D86" s="23"/>
      <c r="E86" s="23" t="s">
        <v>66</v>
      </c>
      <c r="F86" s="23" t="s">
        <v>409</v>
      </c>
      <c r="G86" s="23" t="s">
        <v>142</v>
      </c>
      <c r="H86" s="25">
        <v>13</v>
      </c>
      <c r="I86" s="1">
        <v>4</v>
      </c>
      <c r="J86" s="26">
        <v>6</v>
      </c>
      <c r="K86" s="27">
        <f t="shared" si="3"/>
        <v>8041.41</v>
      </c>
      <c r="L86" s="27"/>
      <c r="M86" s="27">
        <v>8041.41</v>
      </c>
      <c r="N86" s="1">
        <v>14</v>
      </c>
      <c r="O86" s="27">
        <f t="shared" si="4"/>
        <v>10572.76</v>
      </c>
      <c r="P86" s="27">
        <v>7945.96</v>
      </c>
      <c r="Q86" s="27">
        <v>2626.8</v>
      </c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65</v>
      </c>
      <c r="C87" s="24" t="s">
        <v>18</v>
      </c>
      <c r="D87" s="23"/>
      <c r="E87" s="23" t="s">
        <v>66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4"/>
        <v>0</v>
      </c>
      <c r="P87" s="27"/>
      <c r="Q87" s="27"/>
      <c r="R87" s="31"/>
    </row>
    <row r="88" spans="1:38" s="7" customFormat="1" ht="15" customHeight="1">
      <c r="A88" s="24">
        <v>44</v>
      </c>
      <c r="B88" s="23" t="s">
        <v>67</v>
      </c>
      <c r="C88" s="24" t="s">
        <v>18</v>
      </c>
      <c r="D88" s="23"/>
      <c r="E88" s="23" t="s">
        <v>19</v>
      </c>
      <c r="F88" s="23" t="s">
        <v>410</v>
      </c>
      <c r="G88" s="23" t="s">
        <v>142</v>
      </c>
      <c r="H88" s="25">
        <v>37</v>
      </c>
      <c r="I88" s="1">
        <v>35</v>
      </c>
      <c r="J88" s="26">
        <v>36</v>
      </c>
      <c r="K88" s="27">
        <f t="shared" si="3"/>
        <v>34327.040000000001</v>
      </c>
      <c r="L88" s="27">
        <v>22987.47</v>
      </c>
      <c r="M88" s="27">
        <v>11339.57</v>
      </c>
      <c r="N88" s="1">
        <v>14</v>
      </c>
      <c r="O88" s="27">
        <f t="shared" si="4"/>
        <v>28719.49</v>
      </c>
      <c r="P88" s="27">
        <v>17059.530000000002</v>
      </c>
      <c r="Q88" s="27">
        <v>11659.96</v>
      </c>
      <c r="R88" s="20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 spans="1:38" s="28" customFormat="1" ht="15" customHeight="1">
      <c r="A89" s="24"/>
      <c r="B89" s="23" t="s">
        <v>67</v>
      </c>
      <c r="C89" s="24" t="s">
        <v>18</v>
      </c>
      <c r="D89" s="23"/>
      <c r="E89" s="23" t="s">
        <v>104</v>
      </c>
      <c r="F89" s="23" t="s">
        <v>123</v>
      </c>
      <c r="G89" s="23" t="s">
        <v>122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31"/>
    </row>
    <row r="90" spans="1:38" ht="15" customHeight="1">
      <c r="A90" s="24">
        <v>45</v>
      </c>
      <c r="B90" s="23" t="s">
        <v>68</v>
      </c>
      <c r="C90" s="24" t="s">
        <v>18</v>
      </c>
      <c r="D90" s="24"/>
      <c r="E90" s="23" t="s">
        <v>50</v>
      </c>
      <c r="F90" s="23" t="s">
        <v>411</v>
      </c>
      <c r="G90" s="23" t="s">
        <v>142</v>
      </c>
      <c r="H90" s="25">
        <v>10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s="28" customFormat="1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123</v>
      </c>
      <c r="G91" s="23" t="s">
        <v>136</v>
      </c>
      <c r="H91" s="25">
        <v>0</v>
      </c>
      <c r="I91" s="2"/>
      <c r="J91" s="26"/>
      <c r="K91" s="27">
        <f t="shared" si="3"/>
        <v>0</v>
      </c>
      <c r="L91" s="27"/>
      <c r="M91" s="27"/>
      <c r="N91" s="2"/>
      <c r="O91" s="27">
        <f t="shared" si="4"/>
        <v>0</v>
      </c>
      <c r="P91" s="27"/>
      <c r="Q91" s="27"/>
      <c r="R91" s="31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292</v>
      </c>
      <c r="G92" s="23" t="s">
        <v>124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31"/>
    </row>
    <row r="93" spans="1:38" ht="15" customHeight="1">
      <c r="A93" s="24">
        <v>46</v>
      </c>
      <c r="B93" s="23" t="s">
        <v>127</v>
      </c>
      <c r="C93" s="24" t="s">
        <v>18</v>
      </c>
      <c r="D93" s="23"/>
      <c r="E93" s="23" t="s">
        <v>41</v>
      </c>
      <c r="F93" s="23" t="s">
        <v>412</v>
      </c>
      <c r="G93" s="23" t="s">
        <v>142</v>
      </c>
      <c r="H93" s="25">
        <v>15</v>
      </c>
      <c r="I93" s="2">
        <v>9</v>
      </c>
      <c r="J93" s="26">
        <v>10</v>
      </c>
      <c r="K93" s="27">
        <f t="shared" si="3"/>
        <v>10325.33</v>
      </c>
      <c r="L93" s="27"/>
      <c r="M93" s="27">
        <v>10325.33</v>
      </c>
      <c r="N93" s="2">
        <v>7</v>
      </c>
      <c r="O93" s="27">
        <f t="shared" si="4"/>
        <v>4981.9400000000005</v>
      </c>
      <c r="P93" s="27">
        <v>4981.9400000000005</v>
      </c>
      <c r="Q93" s="27"/>
      <c r="R93" s="20"/>
    </row>
    <row r="94" spans="1:38" s="28" customFormat="1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364</v>
      </c>
      <c r="G94" s="23" t="s">
        <v>136</v>
      </c>
      <c r="H94" s="25">
        <v>11</v>
      </c>
      <c r="I94" s="2">
        <v>5</v>
      </c>
      <c r="J94" s="26">
        <v>5</v>
      </c>
      <c r="K94" s="27">
        <f t="shared" si="3"/>
        <v>4581.2</v>
      </c>
      <c r="L94" s="27">
        <v>4581.2</v>
      </c>
      <c r="M94" s="27"/>
      <c r="N94" s="2">
        <v>19</v>
      </c>
      <c r="O94" s="27">
        <f t="shared" si="4"/>
        <v>25116.91</v>
      </c>
      <c r="P94" s="27">
        <v>21055.5</v>
      </c>
      <c r="Q94" s="27">
        <v>4061.41</v>
      </c>
      <c r="R94" s="31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375</v>
      </c>
      <c r="G95" s="23" t="s">
        <v>124</v>
      </c>
      <c r="H95" s="25">
        <v>1</v>
      </c>
      <c r="I95" s="2">
        <v>1</v>
      </c>
      <c r="J95" s="26">
        <v>1</v>
      </c>
      <c r="K95" s="27">
        <f t="shared" si="3"/>
        <v>1288.7</v>
      </c>
      <c r="L95" s="27">
        <v>1288.7</v>
      </c>
      <c r="M95" s="27"/>
      <c r="N95" s="2">
        <v>3</v>
      </c>
      <c r="O95" s="27">
        <f t="shared" si="4"/>
        <v>616.70000000000005</v>
      </c>
      <c r="P95" s="27">
        <v>616.70000000000005</v>
      </c>
      <c r="Q95" s="27"/>
      <c r="R95" s="31"/>
    </row>
    <row r="96" spans="1:38" s="7" customFormat="1" ht="15" customHeight="1">
      <c r="A96" s="74">
        <v>47</v>
      </c>
      <c r="B96" s="77" t="s">
        <v>69</v>
      </c>
      <c r="C96" s="74" t="s">
        <v>18</v>
      </c>
      <c r="D96" s="77"/>
      <c r="E96" s="77" t="s">
        <v>19</v>
      </c>
      <c r="F96" s="77" t="s">
        <v>292</v>
      </c>
      <c r="G96" s="77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s="7" customFormat="1" ht="15.75" customHeight="1">
      <c r="A97" s="74">
        <v>48</v>
      </c>
      <c r="B97" s="77" t="s">
        <v>70</v>
      </c>
      <c r="C97" s="74" t="s">
        <v>18</v>
      </c>
      <c r="D97" s="77"/>
      <c r="E97" s="77" t="s">
        <v>19</v>
      </c>
      <c r="F97" s="77" t="s">
        <v>413</v>
      </c>
      <c r="G97" s="77" t="s">
        <v>142</v>
      </c>
      <c r="H97" s="25">
        <v>13</v>
      </c>
      <c r="I97" s="1">
        <v>10</v>
      </c>
      <c r="J97" s="26">
        <v>10</v>
      </c>
      <c r="K97" s="27">
        <f t="shared" si="3"/>
        <v>2262.4</v>
      </c>
      <c r="L97" s="27">
        <v>2262.4</v>
      </c>
      <c r="M97" s="27"/>
      <c r="N97" s="1">
        <v>7</v>
      </c>
      <c r="O97" s="27">
        <f t="shared" si="4"/>
        <v>23489.77</v>
      </c>
      <c r="P97" s="27">
        <v>9533.19</v>
      </c>
      <c r="Q97" s="27">
        <v>13956.58</v>
      </c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ht="15" customHeight="1">
      <c r="A98" s="74">
        <v>49</v>
      </c>
      <c r="B98" s="77" t="s">
        <v>71</v>
      </c>
      <c r="C98" s="74" t="s">
        <v>18</v>
      </c>
      <c r="D98" s="77"/>
      <c r="E98" s="77" t="s">
        <v>32</v>
      </c>
      <c r="F98" s="77" t="s">
        <v>292</v>
      </c>
      <c r="G98" s="77" t="s">
        <v>121</v>
      </c>
      <c r="H98" s="25">
        <v>0</v>
      </c>
      <c r="I98" s="1"/>
      <c r="J98" s="26"/>
      <c r="K98" s="27">
        <f t="shared" si="3"/>
        <v>0</v>
      </c>
      <c r="L98" s="27"/>
      <c r="M98" s="27"/>
      <c r="N98" s="1">
        <v>2</v>
      </c>
      <c r="O98" s="27">
        <f t="shared" si="4"/>
        <v>10878.949999999999</v>
      </c>
      <c r="P98" s="27">
        <v>10878.949999999999</v>
      </c>
      <c r="Q98" s="27"/>
      <c r="R98" s="20"/>
    </row>
    <row r="99" spans="1:38" s="28" customFormat="1" ht="15" customHeight="1">
      <c r="A99" s="24"/>
      <c r="B99" s="23" t="s">
        <v>71</v>
      </c>
      <c r="C99" s="24" t="s">
        <v>18</v>
      </c>
      <c r="D99" s="23"/>
      <c r="E99" s="23" t="s">
        <v>32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38" ht="15" customHeight="1">
      <c r="A100" s="24">
        <v>50</v>
      </c>
      <c r="B100" s="23" t="s">
        <v>72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28" customFormat="1" ht="15" customHeight="1">
      <c r="A101" s="24"/>
      <c r="B101" s="23" t="s">
        <v>72</v>
      </c>
      <c r="C101" s="24" t="s">
        <v>18</v>
      </c>
      <c r="D101" s="23"/>
      <c r="E101" s="23" t="s">
        <v>19</v>
      </c>
      <c r="F101" s="23" t="s">
        <v>292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38" ht="15" customHeight="1">
      <c r="A102" s="24">
        <v>51</v>
      </c>
      <c r="B102" s="23" t="s">
        <v>73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s="7" customFormat="1" ht="15" customHeight="1">
      <c r="A103" s="24">
        <v>52</v>
      </c>
      <c r="B103" s="23" t="s">
        <v>74</v>
      </c>
      <c r="C103" s="24" t="s">
        <v>18</v>
      </c>
      <c r="D103" s="23"/>
      <c r="E103" s="23" t="s">
        <v>19</v>
      </c>
      <c r="F103" s="23" t="s">
        <v>414</v>
      </c>
      <c r="G103" s="23" t="s">
        <v>142</v>
      </c>
      <c r="H103" s="25">
        <v>28</v>
      </c>
      <c r="I103" s="1">
        <v>18</v>
      </c>
      <c r="J103" s="26">
        <v>19</v>
      </c>
      <c r="K103" s="27">
        <f t="shared" si="3"/>
        <v>11380.77</v>
      </c>
      <c r="L103" s="27">
        <v>5328.29</v>
      </c>
      <c r="M103" s="27">
        <v>6052.48</v>
      </c>
      <c r="N103" s="1">
        <v>10</v>
      </c>
      <c r="O103" s="27">
        <f t="shared" si="4"/>
        <v>34082.68</v>
      </c>
      <c r="P103" s="27">
        <v>31383.29</v>
      </c>
      <c r="Q103" s="27">
        <v>2699.39</v>
      </c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>
        <v>53</v>
      </c>
      <c r="B104" s="23" t="s">
        <v>312</v>
      </c>
      <c r="C104" s="24" t="s">
        <v>18</v>
      </c>
      <c r="D104" s="23"/>
      <c r="E104" s="23" t="s">
        <v>19</v>
      </c>
      <c r="F104" s="23" t="s">
        <v>415</v>
      </c>
      <c r="G104" s="23" t="s">
        <v>142</v>
      </c>
      <c r="H104" s="25">
        <v>15</v>
      </c>
      <c r="I104" s="1">
        <v>10</v>
      </c>
      <c r="J104" s="26">
        <v>10</v>
      </c>
      <c r="K104" s="27">
        <f t="shared" si="3"/>
        <v>19305.63</v>
      </c>
      <c r="L104" s="27"/>
      <c r="M104" s="27">
        <v>19305.63</v>
      </c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28" customFormat="1" ht="15" customHeight="1">
      <c r="A105" s="24"/>
      <c r="B105" s="23" t="s">
        <v>312</v>
      </c>
      <c r="C105" s="24" t="s">
        <v>18</v>
      </c>
      <c r="D105" s="23"/>
      <c r="E105" s="23" t="s">
        <v>304</v>
      </c>
      <c r="F105" s="23" t="s">
        <v>339</v>
      </c>
      <c r="G105" s="23" t="s">
        <v>131</v>
      </c>
      <c r="H105" s="25">
        <v>13</v>
      </c>
      <c r="I105" s="1">
        <v>3</v>
      </c>
      <c r="J105" s="26">
        <v>3</v>
      </c>
      <c r="K105" s="27">
        <f t="shared" si="3"/>
        <v>1057.2</v>
      </c>
      <c r="L105" s="27">
        <v>1057.2</v>
      </c>
      <c r="M105" s="27"/>
      <c r="N105" s="1"/>
      <c r="O105" s="27">
        <f t="shared" si="4"/>
        <v>0</v>
      </c>
      <c r="Q105" s="27"/>
      <c r="R105" s="31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41</v>
      </c>
      <c r="F106" s="23" t="s">
        <v>467</v>
      </c>
      <c r="G106" s="23" t="s">
        <v>136</v>
      </c>
      <c r="H106" s="25">
        <v>31</v>
      </c>
      <c r="I106" s="1">
        <v>1</v>
      </c>
      <c r="J106" s="26">
        <v>1</v>
      </c>
      <c r="K106" s="27">
        <f t="shared" si="3"/>
        <v>6006.9</v>
      </c>
      <c r="L106" s="27">
        <v>3005.05</v>
      </c>
      <c r="M106" s="27">
        <v>3001.85</v>
      </c>
      <c r="N106" s="1"/>
      <c r="O106" s="27">
        <f t="shared" si="4"/>
        <v>0</v>
      </c>
      <c r="P106" s="27"/>
      <c r="Q106" s="27"/>
      <c r="R106" s="31"/>
    </row>
    <row r="107" spans="1:38" ht="15" customHeight="1">
      <c r="A107" s="24">
        <v>54</v>
      </c>
      <c r="B107" s="23" t="s">
        <v>75</v>
      </c>
      <c r="C107" s="24" t="s">
        <v>18</v>
      </c>
      <c r="D107" s="23"/>
      <c r="E107" s="23" t="s">
        <v>19</v>
      </c>
      <c r="F107" s="23" t="s">
        <v>416</v>
      </c>
      <c r="G107" s="23" t="s">
        <v>142</v>
      </c>
      <c r="H107" s="25">
        <v>18</v>
      </c>
      <c r="I107" s="1">
        <v>17</v>
      </c>
      <c r="J107" s="26">
        <v>20</v>
      </c>
      <c r="K107" s="27">
        <f t="shared" si="3"/>
        <v>10653.08</v>
      </c>
      <c r="L107" s="27">
        <v>2637.71</v>
      </c>
      <c r="M107" s="27">
        <v>8015.37</v>
      </c>
      <c r="N107" s="1">
        <v>19</v>
      </c>
      <c r="O107" s="27">
        <f t="shared" si="4"/>
        <v>98217.49</v>
      </c>
      <c r="P107" s="27">
        <v>81455.08</v>
      </c>
      <c r="Q107" s="27">
        <f>6839.63+9922.78</f>
        <v>16762.41</v>
      </c>
      <c r="R107" s="20"/>
    </row>
    <row r="108" spans="1:38" s="28" customFormat="1" ht="13.15" customHeight="1">
      <c r="A108" s="24"/>
      <c r="B108" s="23" t="s">
        <v>75</v>
      </c>
      <c r="C108" s="24" t="s">
        <v>18</v>
      </c>
      <c r="D108" s="23"/>
      <c r="E108" s="23" t="s">
        <v>76</v>
      </c>
      <c r="F108" s="23" t="s">
        <v>335</v>
      </c>
      <c r="G108" s="23" t="s">
        <v>131</v>
      </c>
      <c r="H108" s="25">
        <v>26</v>
      </c>
      <c r="I108" s="1">
        <v>4</v>
      </c>
      <c r="J108" s="26">
        <v>4</v>
      </c>
      <c r="K108" s="27">
        <f t="shared" si="3"/>
        <v>0</v>
      </c>
      <c r="L108" s="27"/>
      <c r="M108" s="27"/>
      <c r="N108" s="1">
        <v>17</v>
      </c>
      <c r="O108" s="27">
        <f t="shared" si="4"/>
        <v>10660.1</v>
      </c>
      <c r="P108" s="27">
        <v>10660.1</v>
      </c>
      <c r="Q108" s="27"/>
      <c r="R108" s="31"/>
    </row>
    <row r="109" spans="1:38" s="28" customFormat="1" ht="15" customHeight="1">
      <c r="A109" s="24"/>
      <c r="B109" s="23" t="s">
        <v>140</v>
      </c>
      <c r="C109" s="24" t="s">
        <v>18</v>
      </c>
      <c r="D109" s="23"/>
      <c r="E109" s="23" t="s">
        <v>76</v>
      </c>
      <c r="F109" s="23" t="s">
        <v>377</v>
      </c>
      <c r="G109" s="23" t="s">
        <v>136</v>
      </c>
      <c r="H109" s="25">
        <v>28</v>
      </c>
      <c r="I109" s="2">
        <v>10</v>
      </c>
      <c r="J109" s="26">
        <v>10</v>
      </c>
      <c r="K109" s="27">
        <f t="shared" si="3"/>
        <v>8864.92</v>
      </c>
      <c r="L109" s="27">
        <v>6839.82</v>
      </c>
      <c r="M109" s="27">
        <v>2025.1</v>
      </c>
      <c r="N109" s="2">
        <v>29</v>
      </c>
      <c r="O109" s="27">
        <f t="shared" si="4"/>
        <v>78083.569999999992</v>
      </c>
      <c r="P109" s="35">
        <v>69777.649999999994</v>
      </c>
      <c r="Q109" s="27">
        <v>8305.92</v>
      </c>
      <c r="R109" s="31"/>
    </row>
    <row r="110" spans="1:38" s="17" customFormat="1" ht="15" customHeight="1">
      <c r="A110" s="24">
        <v>55</v>
      </c>
      <c r="B110" s="23" t="s">
        <v>267</v>
      </c>
      <c r="C110" s="24" t="s">
        <v>18</v>
      </c>
      <c r="D110" s="23"/>
      <c r="E110" s="23" t="s">
        <v>19</v>
      </c>
      <c r="F110" s="23" t="s">
        <v>268</v>
      </c>
      <c r="G110" s="23" t="s">
        <v>142</v>
      </c>
      <c r="H110" s="25">
        <v>0</v>
      </c>
      <c r="I110" s="2"/>
      <c r="J110" s="26"/>
      <c r="K110" s="27">
        <f t="shared" si="3"/>
        <v>0</v>
      </c>
      <c r="L110" s="27"/>
      <c r="M110" s="27"/>
      <c r="N110" s="2"/>
      <c r="O110" s="27">
        <f t="shared" si="4"/>
        <v>0</v>
      </c>
      <c r="P110" s="27"/>
      <c r="Q110" s="27"/>
      <c r="R110" s="20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:38" s="28" customFormat="1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336</v>
      </c>
      <c r="G111" s="23" t="s">
        <v>131</v>
      </c>
      <c r="H111" s="25">
        <v>8</v>
      </c>
      <c r="I111" s="2">
        <v>1</v>
      </c>
      <c r="J111" s="26">
        <v>1</v>
      </c>
      <c r="K111" s="27">
        <f t="shared" si="3"/>
        <v>2577.4</v>
      </c>
      <c r="L111" s="27"/>
      <c r="M111" s="27">
        <v>2577.4</v>
      </c>
      <c r="N111" s="2">
        <v>5</v>
      </c>
      <c r="O111" s="27">
        <f t="shared" si="4"/>
        <v>2937.3</v>
      </c>
      <c r="P111" s="27">
        <v>2937.3</v>
      </c>
      <c r="Q111" s="27"/>
      <c r="R111" s="31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455</v>
      </c>
      <c r="G112" s="23" t="s">
        <v>122</v>
      </c>
      <c r="H112" s="25">
        <v>9</v>
      </c>
      <c r="I112" s="2">
        <v>2</v>
      </c>
      <c r="J112" s="26">
        <v>2</v>
      </c>
      <c r="K112" s="27">
        <f t="shared" si="3"/>
        <v>2290.6</v>
      </c>
      <c r="L112" s="27">
        <v>2290.6</v>
      </c>
      <c r="M112" s="27"/>
      <c r="N112" s="2">
        <v>4</v>
      </c>
      <c r="O112" s="27">
        <f t="shared" si="4"/>
        <v>8545.7000000000007</v>
      </c>
      <c r="P112" s="27">
        <v>8545.7000000000007</v>
      </c>
      <c r="Q112" s="27"/>
      <c r="R112" s="31"/>
    </row>
    <row r="113" spans="1:38" ht="15" customHeight="1">
      <c r="A113" s="24">
        <v>56</v>
      </c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417</v>
      </c>
      <c r="G113" s="23" t="s">
        <v>142</v>
      </c>
      <c r="H113" s="25">
        <v>26</v>
      </c>
      <c r="I113" s="2">
        <v>16</v>
      </c>
      <c r="J113" s="26">
        <v>17</v>
      </c>
      <c r="K113" s="27">
        <f t="shared" si="3"/>
        <v>4342.45</v>
      </c>
      <c r="L113" s="27">
        <v>4342.45</v>
      </c>
      <c r="M113" s="27"/>
      <c r="N113" s="2"/>
      <c r="O113" s="27">
        <f t="shared" si="4"/>
        <v>0</v>
      </c>
      <c r="P113" s="27"/>
      <c r="Q113" s="27"/>
      <c r="R113" s="20"/>
    </row>
    <row r="114" spans="1:38" s="28" customFormat="1" ht="15" customHeight="1">
      <c r="A114" s="24"/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340</v>
      </c>
      <c r="G114" s="23" t="s">
        <v>131</v>
      </c>
      <c r="H114" s="25">
        <v>19</v>
      </c>
      <c r="I114" s="2">
        <v>3</v>
      </c>
      <c r="J114" s="26">
        <v>3</v>
      </c>
      <c r="K114" s="27">
        <f t="shared" si="3"/>
        <v>0</v>
      </c>
      <c r="L114" s="27"/>
      <c r="M114" s="27"/>
      <c r="N114" s="2"/>
      <c r="O114" s="27">
        <f t="shared" si="4"/>
        <v>0</v>
      </c>
      <c r="P114" s="27"/>
      <c r="Q114" s="27"/>
      <c r="R114" s="31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307</v>
      </c>
      <c r="E115" s="23" t="s">
        <v>19</v>
      </c>
      <c r="F115" s="23" t="s">
        <v>350</v>
      </c>
      <c r="G115" s="23" t="s">
        <v>122</v>
      </c>
      <c r="H115" s="25">
        <v>12</v>
      </c>
      <c r="I115" s="2">
        <v>3</v>
      </c>
      <c r="J115" s="26">
        <v>3</v>
      </c>
      <c r="K115" s="27">
        <f t="shared" si="3"/>
        <v>528.6</v>
      </c>
      <c r="L115" s="27">
        <v>528.6</v>
      </c>
      <c r="M115" s="27"/>
      <c r="N115" s="2"/>
      <c r="O115" s="27">
        <f t="shared" si="4"/>
        <v>0</v>
      </c>
      <c r="P115" s="27"/>
      <c r="Q115" s="27"/>
      <c r="R115" s="31"/>
    </row>
    <row r="116" spans="1:38" ht="30.75" customHeight="1">
      <c r="A116" s="24">
        <v>57</v>
      </c>
      <c r="B116" s="23" t="s">
        <v>78</v>
      </c>
      <c r="C116" s="24" t="s">
        <v>18</v>
      </c>
      <c r="D116" s="23" t="s">
        <v>276</v>
      </c>
      <c r="E116" s="23" t="s">
        <v>19</v>
      </c>
      <c r="F116" s="23" t="s">
        <v>418</v>
      </c>
      <c r="G116" s="23" t="s">
        <v>142</v>
      </c>
      <c r="H116" s="25">
        <v>28</v>
      </c>
      <c r="I116" s="1">
        <v>26</v>
      </c>
      <c r="J116" s="26">
        <v>27</v>
      </c>
      <c r="K116" s="27">
        <f t="shared" si="3"/>
        <v>26169.39</v>
      </c>
      <c r="L116" s="27">
        <v>17351.93</v>
      </c>
      <c r="M116" s="27">
        <v>8817.4599999999991</v>
      </c>
      <c r="N116" s="1">
        <v>11</v>
      </c>
      <c r="O116" s="27">
        <f t="shared" si="4"/>
        <v>40874.75</v>
      </c>
      <c r="P116" s="27">
        <v>25029.530000000002</v>
      </c>
      <c r="Q116" s="27">
        <f>7185.34+8659.88</f>
        <v>15845.22</v>
      </c>
      <c r="R116" s="20"/>
    </row>
    <row r="117" spans="1:38" s="28" customFormat="1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131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38" ht="15" customHeight="1">
      <c r="A119" s="24">
        <v>58</v>
      </c>
      <c r="B119" s="23" t="s">
        <v>79</v>
      </c>
      <c r="C119" s="24" t="s">
        <v>18</v>
      </c>
      <c r="D119" s="23"/>
      <c r="E119" s="23" t="s">
        <v>19</v>
      </c>
      <c r="F119" s="23"/>
      <c r="G119" s="23" t="s">
        <v>142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80</v>
      </c>
      <c r="C120" s="24" t="s">
        <v>18</v>
      </c>
      <c r="D120" s="23"/>
      <c r="E120" s="23" t="s">
        <v>19</v>
      </c>
      <c r="F120" s="23" t="s">
        <v>419</v>
      </c>
      <c r="G120" s="23" t="s">
        <v>142</v>
      </c>
      <c r="H120" s="25">
        <v>27</v>
      </c>
      <c r="I120" s="1">
        <v>21</v>
      </c>
      <c r="J120" s="26">
        <v>27</v>
      </c>
      <c r="K120" s="27">
        <f t="shared" si="3"/>
        <v>23252.010000000002</v>
      </c>
      <c r="L120" s="27">
        <v>13736.86</v>
      </c>
      <c r="M120" s="27">
        <v>9515.15</v>
      </c>
      <c r="N120" s="1">
        <v>12</v>
      </c>
      <c r="O120" s="27">
        <f t="shared" si="4"/>
        <v>40384.42</v>
      </c>
      <c r="P120" s="27">
        <v>34241.86</v>
      </c>
      <c r="Q120" s="27">
        <v>6142.56</v>
      </c>
      <c r="R120" s="20"/>
    </row>
    <row r="121" spans="1:38" s="28" customFormat="1" ht="15" customHeight="1">
      <c r="A121" s="24"/>
      <c r="B121" s="23" t="s">
        <v>80</v>
      </c>
      <c r="C121" s="24" t="s">
        <v>18</v>
      </c>
      <c r="D121" s="23"/>
      <c r="E121" s="23" t="s">
        <v>19</v>
      </c>
      <c r="F121" s="23" t="s">
        <v>120</v>
      </c>
      <c r="G121" s="23" t="s">
        <v>122</v>
      </c>
      <c r="H121" s="25">
        <v>0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38" s="7" customFormat="1" ht="15" customHeight="1">
      <c r="A122" s="24">
        <v>60</v>
      </c>
      <c r="B122" s="23" t="s">
        <v>372</v>
      </c>
      <c r="C122" s="24" t="s">
        <v>18</v>
      </c>
      <c r="D122" s="23"/>
      <c r="E122" s="23" t="s">
        <v>19</v>
      </c>
      <c r="F122" s="23" t="s">
        <v>420</v>
      </c>
      <c r="G122" s="23" t="s">
        <v>142</v>
      </c>
      <c r="H122" s="25">
        <v>24</v>
      </c>
      <c r="I122" s="1">
        <v>3</v>
      </c>
      <c r="J122" s="26">
        <v>3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28" customFormat="1" ht="15" customHeight="1">
      <c r="A123" s="24">
        <v>61</v>
      </c>
      <c r="B123" s="23" t="s">
        <v>313</v>
      </c>
      <c r="C123" s="24" t="s">
        <v>18</v>
      </c>
      <c r="D123" s="23"/>
      <c r="E123" s="23"/>
      <c r="F123" s="23" t="s">
        <v>342</v>
      </c>
      <c r="G123" s="23" t="s">
        <v>131</v>
      </c>
      <c r="H123" s="25">
        <v>1</v>
      </c>
      <c r="I123" s="1"/>
      <c r="J123" s="26"/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31"/>
    </row>
    <row r="124" spans="1:38" s="28" customFormat="1" ht="15" customHeight="1">
      <c r="A124" s="24"/>
      <c r="B124" s="23" t="s">
        <v>313</v>
      </c>
      <c r="C124" s="24" t="s">
        <v>18</v>
      </c>
      <c r="D124" s="23"/>
      <c r="E124" s="23" t="s">
        <v>41</v>
      </c>
      <c r="F124" s="23" t="s">
        <v>366</v>
      </c>
      <c r="G124" s="23" t="s">
        <v>136</v>
      </c>
      <c r="H124" s="25">
        <v>28</v>
      </c>
      <c r="I124" s="1">
        <v>6</v>
      </c>
      <c r="J124" s="26">
        <v>6</v>
      </c>
      <c r="K124" s="27">
        <f t="shared" si="3"/>
        <v>16481.849999999999</v>
      </c>
      <c r="L124" s="27">
        <v>13838.85</v>
      </c>
      <c r="M124" s="27">
        <v>2643</v>
      </c>
      <c r="N124" s="1"/>
      <c r="O124" s="27">
        <f t="shared" si="4"/>
        <v>0</v>
      </c>
      <c r="P124" s="27"/>
      <c r="Q124" s="27"/>
      <c r="R124" s="31"/>
    </row>
    <row r="125" spans="1:38" s="7" customFormat="1" ht="15" customHeight="1">
      <c r="A125" s="24">
        <v>62</v>
      </c>
      <c r="B125" s="23" t="s">
        <v>373</v>
      </c>
      <c r="C125" s="24" t="s">
        <v>52</v>
      </c>
      <c r="D125" s="23" t="s">
        <v>378</v>
      </c>
      <c r="E125" s="23" t="s">
        <v>104</v>
      </c>
      <c r="F125" s="23" t="s">
        <v>422</v>
      </c>
      <c r="G125" s="23" t="s">
        <v>142</v>
      </c>
      <c r="H125" s="25">
        <v>11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5" customHeight="1">
      <c r="A126" s="24">
        <v>63</v>
      </c>
      <c r="B126" s="23" t="s">
        <v>81</v>
      </c>
      <c r="C126" s="24" t="s">
        <v>18</v>
      </c>
      <c r="D126" s="23"/>
      <c r="E126" s="23" t="s">
        <v>19</v>
      </c>
      <c r="F126" s="23" t="s">
        <v>421</v>
      </c>
      <c r="G126" s="23" t="s">
        <v>142</v>
      </c>
      <c r="H126" s="25">
        <v>15</v>
      </c>
      <c r="I126" s="1">
        <v>6</v>
      </c>
      <c r="J126" s="26">
        <v>6</v>
      </c>
      <c r="K126" s="27">
        <f t="shared" si="3"/>
        <v>0</v>
      </c>
      <c r="L126" s="27"/>
      <c r="M126" s="27"/>
      <c r="N126" s="1">
        <v>5</v>
      </c>
      <c r="O126" s="27">
        <f t="shared" si="4"/>
        <v>23638.28</v>
      </c>
      <c r="P126" s="27">
        <v>7736.87</v>
      </c>
      <c r="Q126" s="27">
        <f>8743.74+7157.67</f>
        <v>15901.41</v>
      </c>
      <c r="R126" s="20"/>
    </row>
    <row r="127" spans="1:38" s="28" customFormat="1" ht="15" customHeight="1">
      <c r="A127" s="24"/>
      <c r="B127" s="23" t="s">
        <v>81</v>
      </c>
      <c r="C127" s="24" t="s">
        <v>18</v>
      </c>
      <c r="D127" s="23"/>
      <c r="E127" s="23" t="s">
        <v>19</v>
      </c>
      <c r="F127" s="23" t="s">
        <v>453</v>
      </c>
      <c r="G127" s="23" t="s">
        <v>122</v>
      </c>
      <c r="H127" s="25">
        <v>6</v>
      </c>
      <c r="I127" s="1"/>
      <c r="J127" s="26"/>
      <c r="K127" s="27">
        <f t="shared" si="3"/>
        <v>0</v>
      </c>
      <c r="L127" s="27"/>
      <c r="M127" s="27"/>
      <c r="N127" s="1">
        <v>1</v>
      </c>
      <c r="O127" s="27">
        <f t="shared" si="4"/>
        <v>1850.1</v>
      </c>
      <c r="P127" s="27">
        <v>1850.1</v>
      </c>
      <c r="Q127" s="27"/>
      <c r="R127" s="31"/>
    </row>
    <row r="128" spans="1:38" s="7" customFormat="1" ht="15" customHeight="1">
      <c r="A128" s="24">
        <v>64</v>
      </c>
      <c r="B128" s="23" t="s">
        <v>82</v>
      </c>
      <c r="C128" s="24" t="s">
        <v>18</v>
      </c>
      <c r="D128" s="23"/>
      <c r="E128" s="23" t="s">
        <v>19</v>
      </c>
      <c r="F128" s="23" t="s">
        <v>423</v>
      </c>
      <c r="G128" s="23" t="s">
        <v>142</v>
      </c>
      <c r="H128" s="25">
        <v>25</v>
      </c>
      <c r="I128" s="1">
        <v>21</v>
      </c>
      <c r="J128" s="26">
        <v>21</v>
      </c>
      <c r="K128" s="27">
        <f t="shared" si="3"/>
        <v>14700.02</v>
      </c>
      <c r="L128" s="27">
        <v>4799.6900000000005</v>
      </c>
      <c r="M128" s="27">
        <v>9900.33</v>
      </c>
      <c r="N128" s="1">
        <v>10</v>
      </c>
      <c r="O128" s="27">
        <f t="shared" si="4"/>
        <v>46040.89</v>
      </c>
      <c r="P128" s="27">
        <v>23841.8</v>
      </c>
      <c r="Q128" s="27">
        <v>22199.09</v>
      </c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s="28" customFormat="1" ht="15" customHeight="1">
      <c r="A129" s="24"/>
      <c r="B129" s="23" t="s">
        <v>82</v>
      </c>
      <c r="C129" s="24" t="s">
        <v>18</v>
      </c>
      <c r="D129" s="23"/>
      <c r="E129" s="23" t="s">
        <v>19</v>
      </c>
      <c r="F129" s="23" t="s">
        <v>481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>
        <v>3</v>
      </c>
      <c r="O129" s="27">
        <f t="shared" si="4"/>
        <v>528.6</v>
      </c>
      <c r="P129" s="27">
        <v>528.6</v>
      </c>
      <c r="Q129" s="27"/>
      <c r="R129" s="31"/>
    </row>
    <row r="130" spans="1:38" ht="14.45" customHeight="1">
      <c r="A130" s="24">
        <v>65</v>
      </c>
      <c r="B130" s="23" t="s">
        <v>83</v>
      </c>
      <c r="C130" s="24" t="s">
        <v>30</v>
      </c>
      <c r="D130" s="23" t="s">
        <v>184</v>
      </c>
      <c r="E130" s="23" t="s">
        <v>19</v>
      </c>
      <c r="F130" s="23" t="s">
        <v>424</v>
      </c>
      <c r="G130" s="23" t="s">
        <v>142</v>
      </c>
      <c r="H130" s="25">
        <v>52</v>
      </c>
      <c r="I130" s="1">
        <v>46</v>
      </c>
      <c r="J130" s="26">
        <v>47</v>
      </c>
      <c r="K130" s="27">
        <f t="shared" si="3"/>
        <v>39337.339999999997</v>
      </c>
      <c r="L130" s="27">
        <v>14837.82</v>
      </c>
      <c r="M130" s="27">
        <v>24499.52</v>
      </c>
      <c r="N130" s="1">
        <v>14</v>
      </c>
      <c r="O130" s="27">
        <f t="shared" si="4"/>
        <v>28101.130000000005</v>
      </c>
      <c r="P130" s="27">
        <v>18488.010000000002</v>
      </c>
      <c r="Q130" s="27">
        <v>9613.1200000000008</v>
      </c>
      <c r="R130" s="20"/>
    </row>
    <row r="131" spans="1:38" s="28" customFormat="1" ht="14.45" customHeight="1">
      <c r="A131" s="24">
        <v>66</v>
      </c>
      <c r="B131" s="23" t="s">
        <v>303</v>
      </c>
      <c r="C131" s="24" t="s">
        <v>18</v>
      </c>
      <c r="D131" s="23"/>
      <c r="E131" s="23" t="s">
        <v>304</v>
      </c>
      <c r="F131" s="23" t="s">
        <v>473</v>
      </c>
      <c r="G131" s="23" t="s">
        <v>131</v>
      </c>
      <c r="H131" s="25">
        <v>13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38" s="7" customFormat="1" ht="15" customHeight="1">
      <c r="A132" s="24">
        <v>67</v>
      </c>
      <c r="B132" s="23" t="s">
        <v>84</v>
      </c>
      <c r="C132" s="24" t="s">
        <v>18</v>
      </c>
      <c r="D132" s="23"/>
      <c r="E132" s="23" t="s">
        <v>19</v>
      </c>
      <c r="F132" s="23" t="s">
        <v>425</v>
      </c>
      <c r="G132" s="23" t="s">
        <v>142</v>
      </c>
      <c r="H132" s="25">
        <v>24</v>
      </c>
      <c r="I132" s="1">
        <v>19</v>
      </c>
      <c r="J132" s="26">
        <v>22</v>
      </c>
      <c r="K132" s="27">
        <f t="shared" si="3"/>
        <v>15295.92</v>
      </c>
      <c r="L132" s="27">
        <v>15295.92</v>
      </c>
      <c r="M132" s="27"/>
      <c r="N132" s="1">
        <v>13</v>
      </c>
      <c r="O132" s="27">
        <f t="shared" si="4"/>
        <v>19788.560000000001</v>
      </c>
      <c r="P132" s="27">
        <v>19788.560000000001</v>
      </c>
      <c r="Q132" s="27"/>
      <c r="R132" s="20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 spans="1:38" s="28" customFormat="1" ht="15" customHeight="1">
      <c r="A133" s="24"/>
      <c r="B133" s="23" t="s">
        <v>84</v>
      </c>
      <c r="C133" s="24" t="s">
        <v>18</v>
      </c>
      <c r="D133" s="23"/>
      <c r="E133" s="23" t="s">
        <v>19</v>
      </c>
      <c r="F133" s="37" t="s">
        <v>468</v>
      </c>
      <c r="G133" s="23" t="s">
        <v>122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31"/>
    </row>
    <row r="134" spans="1:38" ht="15" customHeight="1">
      <c r="A134" s="24">
        <v>68</v>
      </c>
      <c r="B134" s="23" t="s">
        <v>85</v>
      </c>
      <c r="C134" s="24" t="s">
        <v>18</v>
      </c>
      <c r="D134" s="23"/>
      <c r="E134" s="23" t="s">
        <v>77</v>
      </c>
      <c r="F134" s="23" t="s">
        <v>426</v>
      </c>
      <c r="G134" s="23" t="s">
        <v>142</v>
      </c>
      <c r="H134" s="25">
        <v>24</v>
      </c>
      <c r="I134" s="1">
        <v>18</v>
      </c>
      <c r="J134" s="26">
        <v>22</v>
      </c>
      <c r="K134" s="27">
        <f t="shared" si="3"/>
        <v>7290.74</v>
      </c>
      <c r="L134" s="27"/>
      <c r="M134" s="27">
        <v>7290.74</v>
      </c>
      <c r="N134" s="1">
        <v>22</v>
      </c>
      <c r="O134" s="27">
        <f t="shared" si="4"/>
        <v>35519.81</v>
      </c>
      <c r="P134" s="27">
        <v>29239.35</v>
      </c>
      <c r="Q134" s="27">
        <f>3328.48+2951.98</f>
        <v>6280.46</v>
      </c>
      <c r="R134" s="20"/>
    </row>
    <row r="135" spans="1:38" s="28" customFormat="1" ht="15" customHeight="1">
      <c r="A135" s="24"/>
      <c r="B135" s="23" t="s">
        <v>85</v>
      </c>
      <c r="C135" s="24" t="s">
        <v>18</v>
      </c>
      <c r="D135" s="23"/>
      <c r="E135" s="23" t="s">
        <v>301</v>
      </c>
      <c r="F135" s="23" t="s">
        <v>337</v>
      </c>
      <c r="G135" s="23" t="s">
        <v>131</v>
      </c>
      <c r="H135" s="25">
        <v>44</v>
      </c>
      <c r="I135" s="1">
        <v>13</v>
      </c>
      <c r="J135" s="26">
        <v>13</v>
      </c>
      <c r="K135" s="27">
        <f t="shared" si="3"/>
        <v>2466.8000000000002</v>
      </c>
      <c r="L135" s="27">
        <v>2466.8000000000002</v>
      </c>
      <c r="M135" s="27"/>
      <c r="N135" s="1">
        <v>19</v>
      </c>
      <c r="O135" s="27">
        <f t="shared" si="4"/>
        <v>5330.06</v>
      </c>
      <c r="P135" s="27">
        <v>5330.06</v>
      </c>
      <c r="Q135" s="27"/>
      <c r="R135" s="31"/>
    </row>
    <row r="136" spans="1:38" ht="15" customHeight="1">
      <c r="A136" s="24">
        <v>69</v>
      </c>
      <c r="B136" s="23" t="s">
        <v>86</v>
      </c>
      <c r="C136" s="24" t="s">
        <v>18</v>
      </c>
      <c r="D136" s="23"/>
      <c r="E136" s="23" t="s">
        <v>77</v>
      </c>
      <c r="F136" s="23" t="s">
        <v>427</v>
      </c>
      <c r="G136" s="23" t="s">
        <v>142</v>
      </c>
      <c r="H136" s="25">
        <v>26</v>
      </c>
      <c r="I136" s="1">
        <v>14</v>
      </c>
      <c r="J136" s="26">
        <v>15</v>
      </c>
      <c r="K136" s="27">
        <f t="shared" si="3"/>
        <v>14801.52</v>
      </c>
      <c r="L136" s="27"/>
      <c r="M136" s="27">
        <v>14801.52</v>
      </c>
      <c r="N136" s="1">
        <v>14</v>
      </c>
      <c r="O136" s="27">
        <f t="shared" si="4"/>
        <v>44051.35</v>
      </c>
      <c r="P136" s="27">
        <v>22081.42</v>
      </c>
      <c r="Q136" s="27">
        <v>21969.93</v>
      </c>
      <c r="R136" s="20"/>
    </row>
    <row r="137" spans="1:38" s="28" customFormat="1" ht="15" customHeight="1">
      <c r="A137" s="24"/>
      <c r="B137" s="23" t="s">
        <v>86</v>
      </c>
      <c r="C137" s="24" t="s">
        <v>18</v>
      </c>
      <c r="D137" s="23"/>
      <c r="E137" s="23" t="s">
        <v>301</v>
      </c>
      <c r="F137" s="23" t="s">
        <v>338</v>
      </c>
      <c r="G137" s="23" t="s">
        <v>131</v>
      </c>
      <c r="H137" s="25">
        <v>7</v>
      </c>
      <c r="I137" s="1">
        <v>1</v>
      </c>
      <c r="J137" s="26">
        <v>1</v>
      </c>
      <c r="K137" s="27">
        <f t="shared" si="3"/>
        <v>0</v>
      </c>
      <c r="L137" s="27"/>
      <c r="M137" s="27"/>
      <c r="N137" s="1">
        <v>4</v>
      </c>
      <c r="O137" s="27">
        <f t="shared" si="4"/>
        <v>5030.51</v>
      </c>
      <c r="P137" s="27">
        <v>5030.51</v>
      </c>
      <c r="Q137" s="27"/>
      <c r="R137" s="31"/>
    </row>
    <row r="138" spans="1:38" ht="28.9" customHeight="1">
      <c r="A138" s="29">
        <v>70</v>
      </c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292</v>
      </c>
      <c r="G138" s="30" t="s">
        <v>142</v>
      </c>
      <c r="H138" s="25">
        <v>0</v>
      </c>
      <c r="I138" s="1"/>
      <c r="J138" s="26"/>
      <c r="K138" s="27">
        <f t="shared" si="3"/>
        <v>0</v>
      </c>
      <c r="L138" s="27"/>
      <c r="M138" s="27"/>
      <c r="N138" s="1">
        <v>1</v>
      </c>
      <c r="O138" s="27">
        <f t="shared" si="4"/>
        <v>1564.44</v>
      </c>
      <c r="P138" s="27">
        <v>1564.44</v>
      </c>
      <c r="Q138" s="27"/>
      <c r="R138" s="20"/>
    </row>
    <row r="139" spans="1:38" s="28" customFormat="1" ht="29.25" customHeight="1">
      <c r="A139" s="29"/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376</v>
      </c>
      <c r="G139" s="30" t="s">
        <v>122</v>
      </c>
      <c r="H139" s="25">
        <v>27</v>
      </c>
      <c r="I139" s="1">
        <v>8</v>
      </c>
      <c r="J139" s="44">
        <v>8</v>
      </c>
      <c r="K139" s="27">
        <f t="shared" ref="K139:K202" si="5">L139+M139</f>
        <v>9959.6</v>
      </c>
      <c r="L139" s="27"/>
      <c r="M139" s="27">
        <v>9959.6</v>
      </c>
      <c r="N139" s="1">
        <v>5</v>
      </c>
      <c r="O139" s="27">
        <f t="shared" ref="O139:O202" si="6">P139+Q139</f>
        <v>8968.58</v>
      </c>
      <c r="P139" s="27">
        <v>6677.98</v>
      </c>
      <c r="Q139" s="27">
        <v>2290.6000000000004</v>
      </c>
      <c r="R139" s="31"/>
    </row>
    <row r="140" spans="1:38" ht="26.25" customHeight="1">
      <c r="A140" s="24">
        <v>71</v>
      </c>
      <c r="B140" s="23" t="s">
        <v>89</v>
      </c>
      <c r="C140" s="24" t="s">
        <v>18</v>
      </c>
      <c r="D140" s="23"/>
      <c r="E140" s="23" t="s">
        <v>19</v>
      </c>
      <c r="F140" s="23" t="s">
        <v>428</v>
      </c>
      <c r="G140" s="23" t="s">
        <v>142</v>
      </c>
      <c r="H140" s="25">
        <v>24</v>
      </c>
      <c r="I140" s="1">
        <v>14</v>
      </c>
      <c r="J140" s="26">
        <v>14</v>
      </c>
      <c r="K140" s="27">
        <f t="shared" si="5"/>
        <v>8817.93</v>
      </c>
      <c r="L140" s="27">
        <v>3575.98</v>
      </c>
      <c r="M140" s="27">
        <v>5241.95</v>
      </c>
      <c r="N140" s="1">
        <v>9</v>
      </c>
      <c r="O140" s="27">
        <f t="shared" si="6"/>
        <v>26412.809999999998</v>
      </c>
      <c r="P140" s="27">
        <v>23299.57</v>
      </c>
      <c r="Q140" s="27">
        <f>2056.04+1057.2</f>
        <v>3113.24</v>
      </c>
      <c r="R140" s="20"/>
    </row>
    <row r="141" spans="1:38" s="28" customFormat="1" ht="15" customHeight="1">
      <c r="A141" s="24"/>
      <c r="B141" s="23" t="s">
        <v>89</v>
      </c>
      <c r="C141" s="24" t="s">
        <v>18</v>
      </c>
      <c r="D141" s="23"/>
      <c r="E141" s="23" t="s">
        <v>19</v>
      </c>
      <c r="F141" s="23" t="s">
        <v>454</v>
      </c>
      <c r="G141" s="23" t="s">
        <v>122</v>
      </c>
      <c r="H141" s="25">
        <v>17</v>
      </c>
      <c r="I141" s="1">
        <v>1</v>
      </c>
      <c r="J141" s="26">
        <v>1</v>
      </c>
      <c r="K141" s="27">
        <f t="shared" si="5"/>
        <v>0</v>
      </c>
      <c r="L141" s="27"/>
      <c r="M141" s="27"/>
      <c r="N141" s="1">
        <v>8</v>
      </c>
      <c r="O141" s="27">
        <f t="shared" si="6"/>
        <v>13215</v>
      </c>
      <c r="P141" s="36">
        <v>13215</v>
      </c>
      <c r="Q141" s="27"/>
      <c r="R141" s="31"/>
    </row>
    <row r="142" spans="1:38" ht="15" customHeight="1">
      <c r="A142" s="24">
        <v>72</v>
      </c>
      <c r="B142" s="23" t="s">
        <v>90</v>
      </c>
      <c r="C142" s="24" t="s">
        <v>18</v>
      </c>
      <c r="D142" s="23"/>
      <c r="E142" s="23" t="s">
        <v>19</v>
      </c>
      <c r="F142" s="23" t="s">
        <v>429</v>
      </c>
      <c r="G142" s="23" t="s">
        <v>142</v>
      </c>
      <c r="H142" s="25">
        <v>14</v>
      </c>
      <c r="I142" s="1">
        <v>13</v>
      </c>
      <c r="J142" s="26">
        <v>13</v>
      </c>
      <c r="K142" s="27">
        <f t="shared" si="5"/>
        <v>2471.02</v>
      </c>
      <c r="L142" s="27">
        <v>2471.02</v>
      </c>
      <c r="M142" s="27"/>
      <c r="N142" s="1">
        <v>5</v>
      </c>
      <c r="O142" s="27">
        <f t="shared" si="6"/>
        <v>10093.58</v>
      </c>
      <c r="P142" s="27">
        <v>10093.58</v>
      </c>
      <c r="Q142" s="27"/>
      <c r="R142" s="20"/>
    </row>
    <row r="143" spans="1:38" s="7" customFormat="1" ht="15" customHeight="1">
      <c r="A143" s="24">
        <v>73</v>
      </c>
      <c r="B143" s="23" t="s">
        <v>91</v>
      </c>
      <c r="C143" s="24" t="s">
        <v>18</v>
      </c>
      <c r="D143" s="23"/>
      <c r="E143" s="23" t="s">
        <v>92</v>
      </c>
      <c r="F143" s="23" t="s">
        <v>470</v>
      </c>
      <c r="G143" s="23" t="s">
        <v>142</v>
      </c>
      <c r="H143" s="25">
        <v>16</v>
      </c>
      <c r="I143" s="1">
        <v>1</v>
      </c>
      <c r="J143" s="26">
        <v>1</v>
      </c>
      <c r="K143" s="27">
        <f t="shared" si="5"/>
        <v>0</v>
      </c>
      <c r="L143" s="27"/>
      <c r="M143" s="27"/>
      <c r="N143" s="1">
        <v>17</v>
      </c>
      <c r="O143" s="27">
        <f t="shared" si="6"/>
        <v>35132.880000000005</v>
      </c>
      <c r="P143" s="27">
        <v>35132.880000000005</v>
      </c>
      <c r="Q143" s="27"/>
      <c r="R143" s="20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 spans="1:38" s="28" customFormat="1" ht="15" customHeight="1">
      <c r="A144" s="24"/>
      <c r="B144" s="23" t="s">
        <v>91</v>
      </c>
      <c r="C144" s="24" t="s">
        <v>18</v>
      </c>
      <c r="D144" s="23"/>
      <c r="E144" s="23" t="s">
        <v>92</v>
      </c>
      <c r="F144" s="23" t="s">
        <v>479</v>
      </c>
      <c r="G144" s="23" t="s">
        <v>136</v>
      </c>
      <c r="H144" s="25">
        <v>3</v>
      </c>
      <c r="I144" s="2"/>
      <c r="J144" s="26"/>
      <c r="K144" s="27">
        <f t="shared" si="5"/>
        <v>0</v>
      </c>
      <c r="L144" s="27"/>
      <c r="M144" s="27"/>
      <c r="N144" s="2">
        <v>5</v>
      </c>
      <c r="O144" s="27">
        <f t="shared" si="6"/>
        <v>1145.3</v>
      </c>
      <c r="P144" s="27">
        <v>1145.3</v>
      </c>
      <c r="Q144" s="27"/>
      <c r="R144" s="31"/>
    </row>
    <row r="145" spans="1:18" ht="15" customHeight="1">
      <c r="A145" s="24">
        <v>74</v>
      </c>
      <c r="B145" s="23" t="s">
        <v>93</v>
      </c>
      <c r="C145" s="24" t="s">
        <v>18</v>
      </c>
      <c r="D145" s="23"/>
      <c r="E145" s="23" t="s">
        <v>19</v>
      </c>
      <c r="F145" s="23" t="s">
        <v>123</v>
      </c>
      <c r="G145" s="23" t="s">
        <v>142</v>
      </c>
      <c r="H145" s="25">
        <v>0</v>
      </c>
      <c r="I145" s="2"/>
      <c r="J145" s="26"/>
      <c r="K145" s="27">
        <f t="shared" si="5"/>
        <v>0</v>
      </c>
      <c r="L145" s="27"/>
      <c r="M145" s="27"/>
      <c r="N145" s="2">
        <v>1</v>
      </c>
      <c r="O145" s="27">
        <f t="shared" si="6"/>
        <v>4017.3599999999997</v>
      </c>
      <c r="P145" s="27">
        <v>4017.3599999999997</v>
      </c>
      <c r="Q145" s="27"/>
      <c r="R145" s="20"/>
    </row>
    <row r="146" spans="1:18" s="28" customFormat="1" ht="15" customHeight="1">
      <c r="A146" s="24"/>
      <c r="B146" s="23" t="s">
        <v>93</v>
      </c>
      <c r="C146" s="24" t="s">
        <v>18</v>
      </c>
      <c r="D146" s="23"/>
      <c r="E146" s="23" t="s">
        <v>19</v>
      </c>
      <c r="F146" s="23" t="s">
        <v>120</v>
      </c>
      <c r="G146" s="23" t="s">
        <v>131</v>
      </c>
      <c r="H146" s="25">
        <v>0</v>
      </c>
      <c r="I146" s="1"/>
      <c r="J146" s="26"/>
      <c r="K146" s="27">
        <f t="shared" si="5"/>
        <v>0</v>
      </c>
      <c r="L146" s="27"/>
      <c r="M146" s="27"/>
      <c r="N146" s="1">
        <v>1</v>
      </c>
      <c r="O146" s="27">
        <f t="shared" si="6"/>
        <v>1797.24</v>
      </c>
      <c r="P146" s="27">
        <v>1797.24</v>
      </c>
      <c r="Q146" s="27"/>
      <c r="R146" s="31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/>
      <c r="F147" s="23" t="s">
        <v>261</v>
      </c>
      <c r="G147" s="23" t="s">
        <v>122</v>
      </c>
      <c r="H147" s="25">
        <v>10</v>
      </c>
      <c r="I147" s="1">
        <v>3</v>
      </c>
      <c r="J147" s="26">
        <v>3</v>
      </c>
      <c r="K147" s="27">
        <f t="shared" si="5"/>
        <v>0</v>
      </c>
      <c r="L147" s="27"/>
      <c r="M147" s="27"/>
      <c r="N147" s="1">
        <v>3</v>
      </c>
      <c r="O147" s="27">
        <f t="shared" si="6"/>
        <v>6255.1</v>
      </c>
      <c r="P147" s="27">
        <v>6255.1</v>
      </c>
      <c r="Q147" s="27"/>
      <c r="R147" s="31"/>
    </row>
    <row r="148" spans="1:18" ht="15" customHeight="1">
      <c r="A148" s="24">
        <v>75</v>
      </c>
      <c r="B148" s="23" t="s">
        <v>281</v>
      </c>
      <c r="C148" s="24" t="s">
        <v>18</v>
      </c>
      <c r="D148" s="23"/>
      <c r="E148" s="23" t="s">
        <v>19</v>
      </c>
      <c r="F148" s="23" t="s">
        <v>430</v>
      </c>
      <c r="G148" s="23" t="s">
        <v>142</v>
      </c>
      <c r="H148" s="25">
        <v>15</v>
      </c>
      <c r="I148" s="1">
        <v>6</v>
      </c>
      <c r="J148" s="26">
        <v>7</v>
      </c>
      <c r="K148" s="27">
        <f t="shared" si="5"/>
        <v>2702.63</v>
      </c>
      <c r="L148" s="27">
        <v>2702.63</v>
      </c>
      <c r="M148" s="27"/>
      <c r="N148" s="1">
        <v>2</v>
      </c>
      <c r="O148" s="27">
        <f t="shared" si="6"/>
        <v>2640.13</v>
      </c>
      <c r="P148" s="27">
        <v>2640.13</v>
      </c>
      <c r="Q148" s="27"/>
      <c r="R148" s="20"/>
    </row>
    <row r="149" spans="1:18" s="28" customFormat="1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285</v>
      </c>
      <c r="G149" s="23" t="s">
        <v>131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>
        <v>1</v>
      </c>
      <c r="O149" s="27">
        <f t="shared" si="6"/>
        <v>0</v>
      </c>
      <c r="P149" s="27"/>
      <c r="Q149" s="27"/>
      <c r="R149" s="31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349</v>
      </c>
      <c r="G150" s="23" t="s">
        <v>122</v>
      </c>
      <c r="H150" s="25">
        <v>22</v>
      </c>
      <c r="I150" s="1">
        <v>5</v>
      </c>
      <c r="J150" s="26">
        <v>5</v>
      </c>
      <c r="K150" s="27">
        <f t="shared" si="5"/>
        <v>12186.16</v>
      </c>
      <c r="L150" s="27">
        <v>9287.9599999999991</v>
      </c>
      <c r="M150" s="27">
        <v>2898.2000000000007</v>
      </c>
      <c r="N150" s="1">
        <v>6</v>
      </c>
      <c r="O150" s="27">
        <f t="shared" si="6"/>
        <v>13416.69</v>
      </c>
      <c r="P150" s="27">
        <v>13416.69</v>
      </c>
      <c r="Q150" s="27"/>
      <c r="R150" s="31"/>
    </row>
    <row r="151" spans="1:18" ht="15" customHeight="1">
      <c r="A151" s="24">
        <v>76</v>
      </c>
      <c r="B151" s="23" t="s">
        <v>94</v>
      </c>
      <c r="C151" s="24" t="s">
        <v>18</v>
      </c>
      <c r="D151" s="23"/>
      <c r="E151" s="23" t="s">
        <v>95</v>
      </c>
      <c r="F151" s="23" t="s">
        <v>431</v>
      </c>
      <c r="G151" s="23" t="s">
        <v>142</v>
      </c>
      <c r="H151" s="25">
        <v>39</v>
      </c>
      <c r="I151" s="1">
        <v>23</v>
      </c>
      <c r="J151" s="26">
        <v>34</v>
      </c>
      <c r="K151" s="27">
        <f t="shared" si="5"/>
        <v>39751.32</v>
      </c>
      <c r="L151" s="27">
        <v>4012.07</v>
      </c>
      <c r="M151" s="27">
        <v>35739.25</v>
      </c>
      <c r="N151" s="1">
        <v>9</v>
      </c>
      <c r="O151" s="27">
        <f t="shared" si="6"/>
        <v>13489.94</v>
      </c>
      <c r="P151" s="27">
        <v>13489.94</v>
      </c>
      <c r="Q151" s="27"/>
      <c r="R151" s="20"/>
    </row>
    <row r="152" spans="1:18" s="28" customFormat="1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319</v>
      </c>
      <c r="G152" s="23" t="s">
        <v>124</v>
      </c>
      <c r="H152" s="25">
        <v>15</v>
      </c>
      <c r="I152" s="1">
        <v>2</v>
      </c>
      <c r="J152" s="26">
        <v>2</v>
      </c>
      <c r="K152" s="27">
        <f t="shared" si="5"/>
        <v>6519.4</v>
      </c>
      <c r="L152" s="27">
        <v>6519.4</v>
      </c>
      <c r="M152" s="27"/>
      <c r="N152" s="1">
        <v>2</v>
      </c>
      <c r="O152" s="27">
        <f t="shared" si="6"/>
        <v>3942.68</v>
      </c>
      <c r="P152" s="27">
        <v>3942.68</v>
      </c>
      <c r="Q152" s="27"/>
      <c r="R152" s="31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123</v>
      </c>
      <c r="G153" s="23" t="s">
        <v>131</v>
      </c>
      <c r="H153" s="25">
        <v>0</v>
      </c>
      <c r="I153" s="2"/>
      <c r="J153" s="26"/>
      <c r="K153" s="27">
        <f t="shared" si="5"/>
        <v>0</v>
      </c>
      <c r="L153" s="27"/>
      <c r="M153" s="27"/>
      <c r="N153" s="2"/>
      <c r="O153" s="27">
        <f t="shared" si="6"/>
        <v>0</v>
      </c>
      <c r="P153" s="27"/>
      <c r="Q153" s="27"/>
      <c r="R153" s="31"/>
    </row>
    <row r="154" spans="1:18" ht="15" customHeight="1">
      <c r="A154" s="24">
        <v>77</v>
      </c>
      <c r="B154" s="23" t="s">
        <v>96</v>
      </c>
      <c r="C154" s="24" t="s">
        <v>18</v>
      </c>
      <c r="D154" s="23"/>
      <c r="E154" s="23" t="s">
        <v>19</v>
      </c>
      <c r="F154" s="23" t="s">
        <v>432</v>
      </c>
      <c r="G154" s="23" t="s">
        <v>142</v>
      </c>
      <c r="H154" s="25">
        <v>6</v>
      </c>
      <c r="I154" s="1">
        <v>2</v>
      </c>
      <c r="J154" s="26">
        <v>2</v>
      </c>
      <c r="K154" s="27">
        <f t="shared" si="5"/>
        <v>7188.96</v>
      </c>
      <c r="L154" s="27"/>
      <c r="M154" s="27">
        <v>7188.96</v>
      </c>
      <c r="N154" s="1">
        <v>4</v>
      </c>
      <c r="O154" s="27">
        <f t="shared" si="6"/>
        <v>7739.93</v>
      </c>
      <c r="P154" s="27">
        <v>4049.6000000000004</v>
      </c>
      <c r="Q154" s="27">
        <v>3690.33</v>
      </c>
      <c r="R154" s="20"/>
    </row>
    <row r="155" spans="1:18" s="28" customFormat="1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292</v>
      </c>
      <c r="G155" s="23" t="s">
        <v>131</v>
      </c>
      <c r="H155" s="25">
        <v>0</v>
      </c>
      <c r="I155" s="1"/>
      <c r="J155" s="26"/>
      <c r="K155" s="27">
        <f t="shared" si="5"/>
        <v>0</v>
      </c>
      <c r="L155" s="27"/>
      <c r="M155" s="27"/>
      <c r="N155" s="1">
        <v>2</v>
      </c>
      <c r="O155" s="27">
        <f t="shared" si="6"/>
        <v>6695.6</v>
      </c>
      <c r="P155" s="27">
        <v>6695.6</v>
      </c>
      <c r="Q155" s="27"/>
      <c r="R155" s="31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447</v>
      </c>
      <c r="G156" s="23" t="s">
        <v>122</v>
      </c>
      <c r="H156" s="25">
        <v>20</v>
      </c>
      <c r="I156" s="1">
        <v>6</v>
      </c>
      <c r="J156" s="26">
        <v>6</v>
      </c>
      <c r="K156" s="27">
        <f t="shared" si="5"/>
        <v>5286</v>
      </c>
      <c r="L156" s="27">
        <v>5286</v>
      </c>
      <c r="M156" s="27"/>
      <c r="N156" s="1">
        <v>6</v>
      </c>
      <c r="O156" s="27">
        <f t="shared" si="6"/>
        <v>12686.4</v>
      </c>
      <c r="P156" s="27">
        <v>12686.4</v>
      </c>
      <c r="Q156" s="27"/>
      <c r="R156" s="31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2" t="s">
        <v>19</v>
      </c>
      <c r="F157" s="23" t="s">
        <v>367</v>
      </c>
      <c r="G157" s="22" t="s">
        <v>136</v>
      </c>
      <c r="H157" s="45">
        <v>8</v>
      </c>
      <c r="I157" s="1">
        <v>1</v>
      </c>
      <c r="J157" s="26">
        <v>1</v>
      </c>
      <c r="K157" s="27">
        <f t="shared" si="5"/>
        <v>4757.3999999999996</v>
      </c>
      <c r="L157" s="27">
        <v>2466.8000000000002</v>
      </c>
      <c r="M157" s="27">
        <v>2290.6</v>
      </c>
      <c r="N157" s="1">
        <v>2</v>
      </c>
      <c r="O157" s="27">
        <f t="shared" si="6"/>
        <v>0</v>
      </c>
      <c r="P157" s="27"/>
      <c r="Q157" s="27"/>
      <c r="R157" s="31"/>
    </row>
    <row r="158" spans="1:18" ht="15" customHeight="1">
      <c r="A158" s="24">
        <v>78</v>
      </c>
      <c r="B158" s="23" t="s">
        <v>97</v>
      </c>
      <c r="C158" s="24" t="s">
        <v>18</v>
      </c>
      <c r="D158" s="23"/>
      <c r="E158" s="23" t="s">
        <v>19</v>
      </c>
      <c r="F158" s="23" t="s">
        <v>462</v>
      </c>
      <c r="G158" s="23" t="s">
        <v>142</v>
      </c>
      <c r="H158" s="25">
        <v>6</v>
      </c>
      <c r="I158" s="1"/>
      <c r="J158" s="26"/>
      <c r="K158" s="27">
        <f t="shared" si="5"/>
        <v>0</v>
      </c>
      <c r="L158" s="27"/>
      <c r="M158" s="27"/>
      <c r="N158" s="1">
        <v>3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98</v>
      </c>
      <c r="C159" s="24" t="s">
        <v>18</v>
      </c>
      <c r="D159" s="23"/>
      <c r="E159" s="23" t="s">
        <v>19</v>
      </c>
      <c r="F159" s="23" t="s">
        <v>433</v>
      </c>
      <c r="G159" s="23" t="s">
        <v>142</v>
      </c>
      <c r="H159" s="25">
        <v>21</v>
      </c>
      <c r="I159" s="1">
        <v>17</v>
      </c>
      <c r="J159" s="26">
        <v>18</v>
      </c>
      <c r="K159" s="27">
        <f t="shared" si="5"/>
        <v>14455.97</v>
      </c>
      <c r="L159" s="27">
        <v>14455.97</v>
      </c>
      <c r="M159" s="27"/>
      <c r="N159" s="1">
        <v>9</v>
      </c>
      <c r="O159" s="27">
        <f t="shared" si="6"/>
        <v>35129.230000000003</v>
      </c>
      <c r="P159" s="27">
        <v>35129.230000000003</v>
      </c>
      <c r="Q159" s="27"/>
      <c r="R159" s="20"/>
    </row>
    <row r="160" spans="1:18" ht="15" customHeight="1">
      <c r="A160" s="24">
        <v>80</v>
      </c>
      <c r="B160" s="23" t="s">
        <v>99</v>
      </c>
      <c r="C160" s="24" t="s">
        <v>18</v>
      </c>
      <c r="D160" s="23"/>
      <c r="E160" s="23" t="s">
        <v>19</v>
      </c>
      <c r="F160" s="23" t="s">
        <v>120</v>
      </c>
      <c r="G160" s="23" t="s">
        <v>142</v>
      </c>
      <c r="H160" s="25">
        <v>0</v>
      </c>
      <c r="I160" s="1"/>
      <c r="J160" s="26"/>
      <c r="K160" s="27">
        <f t="shared" si="5"/>
        <v>0</v>
      </c>
      <c r="L160" s="27"/>
      <c r="M160" s="27"/>
      <c r="N160" s="1">
        <v>2</v>
      </c>
      <c r="O160" s="27">
        <f t="shared" si="6"/>
        <v>0</v>
      </c>
      <c r="P160" s="27"/>
      <c r="Q160" s="27"/>
      <c r="R160" s="20"/>
    </row>
    <row r="161" spans="1:18" ht="24.6" customHeight="1">
      <c r="A161" s="29">
        <v>81</v>
      </c>
      <c r="B161" s="30" t="s">
        <v>100</v>
      </c>
      <c r="C161" s="29" t="s">
        <v>30</v>
      </c>
      <c r="D161" s="30" t="s">
        <v>101</v>
      </c>
      <c r="E161" s="30" t="s">
        <v>19</v>
      </c>
      <c r="F161" s="23" t="s">
        <v>434</v>
      </c>
      <c r="G161" s="30" t="s">
        <v>142</v>
      </c>
      <c r="H161" s="25">
        <v>12</v>
      </c>
      <c r="I161" s="1"/>
      <c r="J161" s="26"/>
      <c r="K161" s="27">
        <f t="shared" si="5"/>
        <v>0</v>
      </c>
      <c r="L161" s="27"/>
      <c r="M161" s="27"/>
      <c r="N161" s="1"/>
      <c r="O161" s="27">
        <f t="shared" si="6"/>
        <v>0</v>
      </c>
      <c r="P161" s="27"/>
      <c r="Q161" s="27"/>
      <c r="R161" s="20"/>
    </row>
    <row r="162" spans="1:18" s="28" customFormat="1" ht="29.25" customHeight="1">
      <c r="A162" s="29"/>
      <c r="B162" s="30" t="s">
        <v>100</v>
      </c>
      <c r="C162" s="29" t="s">
        <v>30</v>
      </c>
      <c r="D162" s="30" t="s">
        <v>101</v>
      </c>
      <c r="E162" s="30" t="s">
        <v>19</v>
      </c>
      <c r="F162" s="30" t="s">
        <v>292</v>
      </c>
      <c r="G162" s="30" t="s">
        <v>122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31"/>
    </row>
    <row r="163" spans="1:18" ht="26.25" customHeight="1">
      <c r="A163" s="46">
        <v>82</v>
      </c>
      <c r="B163" s="60" t="s">
        <v>144</v>
      </c>
      <c r="C163" s="46" t="s">
        <v>18</v>
      </c>
      <c r="D163" s="60"/>
      <c r="E163" s="60" t="s">
        <v>104</v>
      </c>
      <c r="F163" s="60" t="s">
        <v>120</v>
      </c>
      <c r="G163" s="60" t="s">
        <v>142</v>
      </c>
      <c r="H163" s="61">
        <v>0</v>
      </c>
      <c r="I163" s="1"/>
      <c r="J163" s="26"/>
      <c r="K163" s="27">
        <f t="shared" si="5"/>
        <v>0</v>
      </c>
      <c r="L163" s="63"/>
      <c r="M163" s="63"/>
      <c r="N163" s="1"/>
      <c r="O163" s="27">
        <f t="shared" si="6"/>
        <v>0</v>
      </c>
      <c r="P163" s="63"/>
      <c r="Q163" s="63"/>
      <c r="R163" s="20"/>
    </row>
    <row r="164" spans="1:18" ht="15.75" customHeight="1">
      <c r="A164" s="24">
        <v>83</v>
      </c>
      <c r="B164" s="23" t="s">
        <v>102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18" ht="15" customHeight="1">
      <c r="A165" s="24">
        <v>84</v>
      </c>
      <c r="B165" s="23" t="s">
        <v>103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>
        <v>1</v>
      </c>
      <c r="O165" s="27">
        <f t="shared" si="6"/>
        <v>12670.26</v>
      </c>
      <c r="P165" s="27">
        <v>12670.26</v>
      </c>
      <c r="Q165" s="27"/>
      <c r="R165" s="20"/>
    </row>
    <row r="166" spans="1:18" s="28" customFormat="1" ht="15" customHeight="1">
      <c r="A166" s="24"/>
      <c r="B166" s="23" t="s">
        <v>103</v>
      </c>
      <c r="C166" s="24" t="s">
        <v>18</v>
      </c>
      <c r="D166" s="23"/>
      <c r="E166" s="23" t="s">
        <v>19</v>
      </c>
      <c r="F166" s="23" t="s">
        <v>456</v>
      </c>
      <c r="G166" s="23" t="s">
        <v>122</v>
      </c>
      <c r="H166" s="25">
        <v>9</v>
      </c>
      <c r="I166" s="1"/>
      <c r="J166" s="26"/>
      <c r="K166" s="27">
        <f t="shared" si="5"/>
        <v>0</v>
      </c>
      <c r="L166" s="27"/>
      <c r="M166" s="27"/>
      <c r="N166" s="1"/>
      <c r="O166" s="27">
        <f t="shared" si="6"/>
        <v>2731.1</v>
      </c>
      <c r="P166" s="27">
        <v>2731.1</v>
      </c>
      <c r="Q166" s="27"/>
      <c r="R166" s="31"/>
    </row>
    <row r="167" spans="1:18" ht="15" customHeight="1">
      <c r="A167" s="41">
        <v>85</v>
      </c>
      <c r="B167" s="37" t="s">
        <v>302</v>
      </c>
      <c r="C167" s="41" t="s">
        <v>18</v>
      </c>
      <c r="D167" s="37"/>
      <c r="E167" s="37" t="s">
        <v>104</v>
      </c>
      <c r="F167" s="37" t="s">
        <v>461</v>
      </c>
      <c r="G167" s="37" t="s">
        <v>142</v>
      </c>
      <c r="H167" s="42">
        <v>16</v>
      </c>
      <c r="I167" s="40">
        <v>3</v>
      </c>
      <c r="J167" s="43">
        <v>3</v>
      </c>
      <c r="K167" s="27">
        <f t="shared" si="5"/>
        <v>0</v>
      </c>
      <c r="L167" s="39"/>
      <c r="M167" s="39"/>
      <c r="N167" s="40"/>
      <c r="O167" s="27">
        <f t="shared" si="6"/>
        <v>0</v>
      </c>
      <c r="P167" s="39"/>
      <c r="Q167" s="39"/>
      <c r="R167" s="20"/>
    </row>
    <row r="168" spans="1:18" s="28" customFormat="1" ht="15" customHeight="1">
      <c r="A168" s="24"/>
      <c r="B168" s="23" t="s">
        <v>302</v>
      </c>
      <c r="C168" s="24" t="s">
        <v>18</v>
      </c>
      <c r="D168" s="23"/>
      <c r="E168" s="23" t="s">
        <v>19</v>
      </c>
      <c r="F168" s="23" t="s">
        <v>348</v>
      </c>
      <c r="G168" s="23" t="s">
        <v>122</v>
      </c>
      <c r="H168" s="25">
        <v>20</v>
      </c>
      <c r="I168" s="1">
        <v>3</v>
      </c>
      <c r="J168" s="26">
        <v>3</v>
      </c>
      <c r="K168" s="27">
        <f t="shared" si="5"/>
        <v>7752.8</v>
      </c>
      <c r="L168" s="27">
        <v>7752.8</v>
      </c>
      <c r="M168" s="27"/>
      <c r="N168" s="1"/>
      <c r="O168" s="27">
        <f t="shared" si="6"/>
        <v>0</v>
      </c>
      <c r="P168" s="27"/>
      <c r="Q168" s="27"/>
      <c r="R168" s="31"/>
    </row>
    <row r="169" spans="1:18" s="28" customFormat="1" ht="15" customHeight="1">
      <c r="A169" s="24">
        <v>86</v>
      </c>
      <c r="B169" s="23" t="s">
        <v>328</v>
      </c>
      <c r="C169" s="24" t="s">
        <v>18</v>
      </c>
      <c r="D169" s="23"/>
      <c r="E169" s="23" t="s">
        <v>19</v>
      </c>
      <c r="F169" s="23" t="s">
        <v>347</v>
      </c>
      <c r="G169" s="23" t="s">
        <v>122</v>
      </c>
      <c r="H169" s="25">
        <v>12</v>
      </c>
      <c r="I169" s="1">
        <v>1</v>
      </c>
      <c r="J169" s="26">
        <v>1</v>
      </c>
      <c r="K169" s="27">
        <f t="shared" si="5"/>
        <v>1585.8</v>
      </c>
      <c r="L169" s="27">
        <v>1585.8</v>
      </c>
      <c r="M169" s="27"/>
      <c r="N169" s="1"/>
      <c r="O169" s="27">
        <f t="shared" si="6"/>
        <v>0</v>
      </c>
      <c r="P169" s="27"/>
      <c r="Q169" s="27"/>
      <c r="R169" s="31"/>
    </row>
    <row r="170" spans="1:18" ht="15" customHeight="1">
      <c r="A170" s="24">
        <v>87</v>
      </c>
      <c r="B170" s="23" t="s">
        <v>314</v>
      </c>
      <c r="C170" s="24" t="s">
        <v>18</v>
      </c>
      <c r="D170" s="23"/>
      <c r="E170" s="23" t="s">
        <v>460</v>
      </c>
      <c r="F170" s="23" t="s">
        <v>435</v>
      </c>
      <c r="G170" s="23" t="s">
        <v>142</v>
      </c>
      <c r="H170" s="25">
        <v>4</v>
      </c>
      <c r="I170" s="1"/>
      <c r="J170" s="26"/>
      <c r="K170" s="27">
        <f t="shared" si="5"/>
        <v>0</v>
      </c>
      <c r="L170" s="27"/>
      <c r="M170" s="27"/>
      <c r="N170" s="1"/>
      <c r="O170" s="27">
        <f t="shared" si="6"/>
        <v>0</v>
      </c>
      <c r="P170" s="27"/>
      <c r="Q170" s="27"/>
      <c r="R170" s="20"/>
    </row>
    <row r="171" spans="1:18" s="28" customFormat="1" ht="15" customHeight="1">
      <c r="A171" s="41"/>
      <c r="B171" s="37" t="s">
        <v>314</v>
      </c>
      <c r="C171" s="41" t="s">
        <v>18</v>
      </c>
      <c r="D171" s="37"/>
      <c r="E171" s="37" t="s">
        <v>460</v>
      </c>
      <c r="F171" s="37" t="s">
        <v>474</v>
      </c>
      <c r="G171" s="37" t="s">
        <v>131</v>
      </c>
      <c r="H171" s="42">
        <v>2</v>
      </c>
      <c r="I171" s="40"/>
      <c r="J171" s="43"/>
      <c r="K171" s="27">
        <f t="shared" si="5"/>
        <v>0</v>
      </c>
      <c r="L171" s="39"/>
      <c r="M171" s="39"/>
      <c r="N171" s="40"/>
      <c r="O171" s="27">
        <f t="shared" si="6"/>
        <v>0</v>
      </c>
      <c r="P171" s="39"/>
      <c r="Q171" s="39"/>
      <c r="R171" s="31"/>
    </row>
    <row r="172" spans="1:18" s="28" customFormat="1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465</v>
      </c>
      <c r="G172" s="23" t="s">
        <v>136</v>
      </c>
      <c r="H172" s="25">
        <v>27</v>
      </c>
      <c r="I172" s="1">
        <v>1</v>
      </c>
      <c r="J172" s="26">
        <v>1</v>
      </c>
      <c r="K172" s="27">
        <f t="shared" si="5"/>
        <v>1938.2</v>
      </c>
      <c r="L172" s="27"/>
      <c r="M172" s="27">
        <v>1938.2</v>
      </c>
      <c r="N172" s="1"/>
      <c r="O172" s="27">
        <f t="shared" si="6"/>
        <v>0</v>
      </c>
      <c r="P172" s="27"/>
      <c r="Q172" s="27"/>
      <c r="R172" s="31"/>
    </row>
    <row r="173" spans="1:18" s="28" customFormat="1" ht="15" customHeight="1">
      <c r="A173" s="24">
        <v>88</v>
      </c>
      <c r="B173" s="23" t="s">
        <v>330</v>
      </c>
      <c r="C173" s="24" t="s">
        <v>18</v>
      </c>
      <c r="D173" s="23"/>
      <c r="E173" s="23" t="s">
        <v>104</v>
      </c>
      <c r="F173" s="23" t="s">
        <v>341</v>
      </c>
      <c r="G173" s="23" t="s">
        <v>131</v>
      </c>
      <c r="H173" s="25">
        <v>11</v>
      </c>
      <c r="I173" s="1">
        <v>8</v>
      </c>
      <c r="J173" s="26">
        <v>8</v>
      </c>
      <c r="K173" s="27">
        <f t="shared" si="5"/>
        <v>1104.6000000000004</v>
      </c>
      <c r="L173" s="27"/>
      <c r="M173" s="27">
        <v>1104.6000000000004</v>
      </c>
      <c r="N173" s="1"/>
      <c r="O173" s="27">
        <f t="shared" si="6"/>
        <v>0</v>
      </c>
      <c r="P173" s="27"/>
      <c r="Q173" s="27"/>
      <c r="R173" s="31"/>
    </row>
    <row r="174" spans="1:18" s="28" customFormat="1" ht="15" customHeight="1">
      <c r="A174" s="24"/>
      <c r="B174" s="23" t="s">
        <v>330</v>
      </c>
      <c r="C174" s="24" t="s">
        <v>18</v>
      </c>
      <c r="D174" s="23"/>
      <c r="E174" s="23" t="s">
        <v>19</v>
      </c>
      <c r="F174" s="23" t="s">
        <v>346</v>
      </c>
      <c r="G174" s="23" t="s">
        <v>122</v>
      </c>
      <c r="H174" s="25">
        <v>11</v>
      </c>
      <c r="I174" s="1">
        <v>3</v>
      </c>
      <c r="J174" s="26">
        <v>3</v>
      </c>
      <c r="K174" s="27">
        <f t="shared" si="5"/>
        <v>4757.3999999999996</v>
      </c>
      <c r="L174" s="27">
        <v>4757.3999999999996</v>
      </c>
      <c r="M174" s="27"/>
      <c r="N174" s="1"/>
      <c r="O174" s="27">
        <f t="shared" si="6"/>
        <v>0</v>
      </c>
      <c r="P174" s="27"/>
      <c r="Q174" s="27"/>
      <c r="R174" s="31"/>
    </row>
    <row r="175" spans="1:18" ht="24.75" customHeight="1">
      <c r="A175" s="29">
        <v>89</v>
      </c>
      <c r="B175" s="30" t="s">
        <v>105</v>
      </c>
      <c r="C175" s="29" t="s">
        <v>30</v>
      </c>
      <c r="D175" s="30" t="s">
        <v>106</v>
      </c>
      <c r="E175" s="30" t="s">
        <v>19</v>
      </c>
      <c r="F175" s="30" t="s">
        <v>436</v>
      </c>
      <c r="G175" s="30" t="s">
        <v>142</v>
      </c>
      <c r="H175" s="25">
        <v>15</v>
      </c>
      <c r="I175" s="1"/>
      <c r="J175" s="26"/>
      <c r="K175" s="27">
        <f t="shared" si="5"/>
        <v>0</v>
      </c>
      <c r="L175" s="27"/>
      <c r="M175" s="27"/>
      <c r="N175" s="1"/>
      <c r="O175" s="27">
        <f t="shared" si="6"/>
        <v>23296.730000000003</v>
      </c>
      <c r="P175" s="27">
        <v>23296.730000000003</v>
      </c>
      <c r="Q175" s="27"/>
      <c r="R175" s="20"/>
    </row>
    <row r="176" spans="1:18" ht="24.75" customHeight="1">
      <c r="A176" s="29">
        <v>90</v>
      </c>
      <c r="B176" s="30" t="s">
        <v>315</v>
      </c>
      <c r="C176" s="29" t="s">
        <v>18</v>
      </c>
      <c r="D176" s="30"/>
      <c r="E176" s="30" t="s">
        <v>19</v>
      </c>
      <c r="F176" s="30" t="s">
        <v>437</v>
      </c>
      <c r="G176" s="30" t="s">
        <v>142</v>
      </c>
      <c r="H176" s="25">
        <v>11</v>
      </c>
      <c r="I176" s="1">
        <v>7</v>
      </c>
      <c r="J176" s="26">
        <v>8</v>
      </c>
      <c r="K176" s="27">
        <f t="shared" si="5"/>
        <v>0</v>
      </c>
      <c r="L176" s="27"/>
      <c r="M176" s="27"/>
      <c r="N176" s="1"/>
      <c r="O176" s="27">
        <f t="shared" si="6"/>
        <v>0</v>
      </c>
      <c r="P176" s="27"/>
      <c r="Q176" s="27"/>
      <c r="R176" s="20"/>
    </row>
    <row r="177" spans="1:38" s="28" customFormat="1" ht="24.75" customHeight="1">
      <c r="A177" s="29"/>
      <c r="B177" s="30" t="s">
        <v>315</v>
      </c>
      <c r="C177" s="29" t="s">
        <v>18</v>
      </c>
      <c r="D177" s="30"/>
      <c r="E177" s="30" t="s">
        <v>322</v>
      </c>
      <c r="F177" s="30" t="s">
        <v>323</v>
      </c>
      <c r="G177" s="30" t="s">
        <v>124</v>
      </c>
      <c r="H177" s="25">
        <v>7</v>
      </c>
      <c r="I177" s="1"/>
      <c r="J177" s="26"/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31"/>
    </row>
    <row r="178" spans="1:38" s="7" customFormat="1" ht="38.450000000000003" customHeight="1">
      <c r="A178" s="29">
        <v>91</v>
      </c>
      <c r="B178" s="30" t="s">
        <v>265</v>
      </c>
      <c r="C178" s="29" t="s">
        <v>18</v>
      </c>
      <c r="D178" s="30"/>
      <c r="E178" s="30" t="s">
        <v>19</v>
      </c>
      <c r="F178" s="30" t="s">
        <v>123</v>
      </c>
      <c r="G178" s="30" t="s">
        <v>142</v>
      </c>
      <c r="H178" s="25">
        <v>0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s="7" customFormat="1" ht="38.450000000000003" customHeight="1">
      <c r="A179" s="24">
        <v>92</v>
      </c>
      <c r="B179" s="23" t="s">
        <v>107</v>
      </c>
      <c r="C179" s="24" t="s">
        <v>18</v>
      </c>
      <c r="D179" s="23"/>
      <c r="E179" s="23" t="s">
        <v>41</v>
      </c>
      <c r="F179" s="30" t="s">
        <v>438</v>
      </c>
      <c r="G179" s="23" t="s">
        <v>142</v>
      </c>
      <c r="H179" s="25">
        <v>2</v>
      </c>
      <c r="I179" s="1">
        <v>1</v>
      </c>
      <c r="J179" s="44">
        <v>1</v>
      </c>
      <c r="K179" s="27">
        <f t="shared" si="5"/>
        <v>0</v>
      </c>
      <c r="L179" s="27"/>
      <c r="M179" s="27"/>
      <c r="N179" s="1">
        <v>6</v>
      </c>
      <c r="O179" s="27">
        <f t="shared" si="6"/>
        <v>1221.57</v>
      </c>
      <c r="P179" s="27">
        <v>1221.57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28" customFormat="1" ht="15.75" customHeight="1">
      <c r="A180" s="24"/>
      <c r="B180" s="23" t="s">
        <v>107</v>
      </c>
      <c r="C180" s="24" t="s">
        <v>18</v>
      </c>
      <c r="D180" s="23"/>
      <c r="E180" s="23" t="s">
        <v>41</v>
      </c>
      <c r="F180" s="23" t="s">
        <v>464</v>
      </c>
      <c r="G180" s="23" t="s">
        <v>136</v>
      </c>
      <c r="H180" s="25">
        <v>13</v>
      </c>
      <c r="I180" s="2">
        <v>7</v>
      </c>
      <c r="J180" s="26">
        <v>7</v>
      </c>
      <c r="K180" s="27">
        <f t="shared" si="5"/>
        <v>16959.580000000002</v>
      </c>
      <c r="L180" s="27">
        <v>12404.48</v>
      </c>
      <c r="M180" s="27">
        <v>4555.1000000000004</v>
      </c>
      <c r="N180" s="2">
        <v>19</v>
      </c>
      <c r="O180" s="27">
        <f t="shared" si="6"/>
        <v>29601.600000000002</v>
      </c>
      <c r="P180" s="27">
        <v>28544.400000000001</v>
      </c>
      <c r="Q180" s="27">
        <v>1057.2</v>
      </c>
      <c r="R180" s="31"/>
    </row>
    <row r="181" spans="1:38" ht="16.5" customHeight="1">
      <c r="A181" s="24">
        <v>93</v>
      </c>
      <c r="B181" s="23" t="s">
        <v>108</v>
      </c>
      <c r="C181" s="24" t="s">
        <v>18</v>
      </c>
      <c r="D181" s="23"/>
      <c r="E181" s="23" t="s">
        <v>19</v>
      </c>
      <c r="F181" s="23" t="s">
        <v>439</v>
      </c>
      <c r="G181" s="23" t="s">
        <v>142</v>
      </c>
      <c r="H181" s="25">
        <v>45</v>
      </c>
      <c r="I181" s="1">
        <v>40</v>
      </c>
      <c r="J181" s="26">
        <v>40</v>
      </c>
      <c r="K181" s="27">
        <f t="shared" si="5"/>
        <v>18249.71</v>
      </c>
      <c r="L181" s="27">
        <v>13481.74</v>
      </c>
      <c r="M181" s="27">
        <v>4767.97</v>
      </c>
      <c r="N181" s="1">
        <v>7</v>
      </c>
      <c r="O181" s="27">
        <f t="shared" si="6"/>
        <v>106471.7</v>
      </c>
      <c r="P181" s="27">
        <v>102505.09</v>
      </c>
      <c r="Q181" s="27">
        <v>3966.61</v>
      </c>
      <c r="R181" s="20"/>
    </row>
    <row r="182" spans="1:38" s="28" customFormat="1" ht="16.5" customHeight="1">
      <c r="A182" s="24"/>
      <c r="B182" s="23" t="s">
        <v>108</v>
      </c>
      <c r="C182" s="24" t="s">
        <v>18</v>
      </c>
      <c r="D182" s="23"/>
      <c r="E182" s="23" t="s">
        <v>19</v>
      </c>
      <c r="F182" s="23" t="s">
        <v>345</v>
      </c>
      <c r="G182" s="23" t="s">
        <v>122</v>
      </c>
      <c r="H182" s="25">
        <v>6</v>
      </c>
      <c r="I182" s="1">
        <v>6</v>
      </c>
      <c r="J182" s="26">
        <v>6</v>
      </c>
      <c r="K182" s="27">
        <f t="shared" si="5"/>
        <v>4786.6000000000004</v>
      </c>
      <c r="L182" s="27"/>
      <c r="M182" s="27">
        <v>4786.6000000000004</v>
      </c>
      <c r="N182" s="1">
        <v>7</v>
      </c>
      <c r="O182" s="27">
        <f t="shared" si="6"/>
        <v>13111.72</v>
      </c>
      <c r="P182" s="27">
        <v>11823.02</v>
      </c>
      <c r="Q182" s="27">
        <v>1288.6999999999989</v>
      </c>
      <c r="R182" s="31"/>
    </row>
    <row r="183" spans="1:38" s="7" customFormat="1" ht="16.5" customHeight="1">
      <c r="A183" s="24">
        <v>94</v>
      </c>
      <c r="B183" s="23" t="s">
        <v>146</v>
      </c>
      <c r="C183" s="24" t="s">
        <v>18</v>
      </c>
      <c r="D183" s="23"/>
      <c r="E183" s="23" t="s">
        <v>104</v>
      </c>
      <c r="F183" s="23" t="s">
        <v>475</v>
      </c>
      <c r="G183" s="23" t="s">
        <v>142</v>
      </c>
      <c r="H183" s="25">
        <v>27</v>
      </c>
      <c r="I183" s="1">
        <v>19</v>
      </c>
      <c r="J183" s="26">
        <v>19</v>
      </c>
      <c r="K183" s="27">
        <f t="shared" si="5"/>
        <v>0</v>
      </c>
      <c r="L183" s="27"/>
      <c r="M183" s="27"/>
      <c r="N183" s="1">
        <v>4</v>
      </c>
      <c r="O183" s="27">
        <f t="shared" si="6"/>
        <v>14026.97</v>
      </c>
      <c r="P183" s="27">
        <v>14026.97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3.45" customHeight="1">
      <c r="A184" s="29">
        <v>95</v>
      </c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440</v>
      </c>
      <c r="G184" s="30" t="s">
        <v>142</v>
      </c>
      <c r="H184" s="25">
        <v>58</v>
      </c>
      <c r="I184" s="1">
        <v>51</v>
      </c>
      <c r="J184" s="26">
        <v>51</v>
      </c>
      <c r="K184" s="27">
        <f t="shared" si="5"/>
        <v>11917.66</v>
      </c>
      <c r="L184" s="27">
        <v>11917.66</v>
      </c>
      <c r="M184" s="27"/>
      <c r="N184" s="1">
        <v>18</v>
      </c>
      <c r="O184" s="27">
        <f t="shared" si="6"/>
        <v>98283.26</v>
      </c>
      <c r="P184" s="27">
        <v>73939.81</v>
      </c>
      <c r="Q184" s="27">
        <v>24343.45</v>
      </c>
      <c r="R184" s="20"/>
    </row>
    <row r="185" spans="1:38" s="28" customFormat="1" ht="27" customHeight="1">
      <c r="A185" s="29"/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344</v>
      </c>
      <c r="G185" s="30" t="s">
        <v>122</v>
      </c>
      <c r="H185" s="25">
        <v>33</v>
      </c>
      <c r="I185" s="1">
        <v>9</v>
      </c>
      <c r="J185" s="44">
        <v>9</v>
      </c>
      <c r="K185" s="27">
        <f t="shared" si="5"/>
        <v>20645.599999999999</v>
      </c>
      <c r="L185" s="27">
        <v>14328.2</v>
      </c>
      <c r="M185" s="27">
        <v>6317.3999999999978</v>
      </c>
      <c r="N185" s="1">
        <v>16</v>
      </c>
      <c r="O185" s="27">
        <f t="shared" si="6"/>
        <v>30487.919999999998</v>
      </c>
      <c r="P185" s="27">
        <v>30487.919999999998</v>
      </c>
      <c r="Q185" s="27"/>
      <c r="R185" s="31"/>
    </row>
    <row r="186" spans="1:38" ht="27.75" customHeight="1">
      <c r="A186" s="24">
        <v>96</v>
      </c>
      <c r="B186" s="23" t="s">
        <v>111</v>
      </c>
      <c r="C186" s="24" t="s">
        <v>18</v>
      </c>
      <c r="D186" s="23"/>
      <c r="E186" s="23" t="s">
        <v>112</v>
      </c>
      <c r="F186" s="23" t="s">
        <v>441</v>
      </c>
      <c r="G186" s="23" t="s">
        <v>142</v>
      </c>
      <c r="H186" s="25">
        <v>9</v>
      </c>
      <c r="I186" s="1">
        <v>6</v>
      </c>
      <c r="J186" s="26">
        <v>6</v>
      </c>
      <c r="K186" s="27">
        <f t="shared" si="5"/>
        <v>0</v>
      </c>
      <c r="L186" s="27"/>
      <c r="M186" s="27"/>
      <c r="N186" s="1">
        <v>9</v>
      </c>
      <c r="O186" s="27">
        <f t="shared" si="6"/>
        <v>27541.74</v>
      </c>
      <c r="P186" s="27">
        <v>27541.74</v>
      </c>
      <c r="Q186" s="27"/>
      <c r="R186" s="20"/>
    </row>
    <row r="187" spans="1:38" s="28" customFormat="1" ht="16.5" customHeight="1">
      <c r="A187" s="24"/>
      <c r="B187" s="23" t="s">
        <v>111</v>
      </c>
      <c r="C187" s="24" t="s">
        <v>18</v>
      </c>
      <c r="D187" s="23"/>
      <c r="E187" s="23" t="s">
        <v>112</v>
      </c>
      <c r="F187" s="23" t="s">
        <v>466</v>
      </c>
      <c r="G187" s="23" t="s">
        <v>136</v>
      </c>
      <c r="H187" s="25">
        <v>10</v>
      </c>
      <c r="I187" s="2"/>
      <c r="J187" s="26"/>
      <c r="K187" s="27">
        <f t="shared" si="5"/>
        <v>881</v>
      </c>
      <c r="L187" s="27"/>
      <c r="M187" s="27">
        <v>881</v>
      </c>
      <c r="N187" s="2">
        <v>3</v>
      </c>
      <c r="O187" s="27">
        <f t="shared" si="6"/>
        <v>1991.2</v>
      </c>
      <c r="P187" s="27">
        <v>1233.4000000000001</v>
      </c>
      <c r="Q187" s="27">
        <v>757.8</v>
      </c>
      <c r="R187" s="31"/>
    </row>
    <row r="188" spans="1:38" s="28" customFormat="1" ht="16.5" customHeight="1">
      <c r="A188" s="41">
        <v>97</v>
      </c>
      <c r="B188" s="37" t="s">
        <v>482</v>
      </c>
      <c r="C188" s="41" t="s">
        <v>18</v>
      </c>
      <c r="D188" s="37"/>
      <c r="E188" s="37" t="s">
        <v>104</v>
      </c>
      <c r="F188" s="37" t="s">
        <v>483</v>
      </c>
      <c r="G188" s="37" t="s">
        <v>122</v>
      </c>
      <c r="H188" s="42">
        <v>6</v>
      </c>
      <c r="I188" s="38">
        <v>1</v>
      </c>
      <c r="J188" s="43">
        <v>1</v>
      </c>
      <c r="K188" s="27">
        <f t="shared" si="5"/>
        <v>552.29999999999995</v>
      </c>
      <c r="L188" s="39"/>
      <c r="M188" s="39">
        <v>552.29999999999995</v>
      </c>
      <c r="N188" s="38"/>
      <c r="O188" s="27">
        <f t="shared" si="6"/>
        <v>0</v>
      </c>
      <c r="P188" s="39"/>
      <c r="Q188" s="39"/>
      <c r="R188" s="31"/>
    </row>
    <row r="189" spans="1:38" ht="16.5" customHeight="1">
      <c r="A189" s="24">
        <v>98</v>
      </c>
      <c r="B189" s="23" t="s">
        <v>113</v>
      </c>
      <c r="C189" s="24" t="s">
        <v>18</v>
      </c>
      <c r="D189" s="23"/>
      <c r="E189" s="23" t="s">
        <v>19</v>
      </c>
      <c r="F189" s="23" t="s">
        <v>120</v>
      </c>
      <c r="G189" s="23" t="s">
        <v>142</v>
      </c>
      <c r="H189" s="25">
        <v>0</v>
      </c>
      <c r="I189" s="1"/>
      <c r="J189" s="26"/>
      <c r="K189" s="27">
        <f t="shared" si="5"/>
        <v>0</v>
      </c>
      <c r="L189" s="27"/>
      <c r="M189" s="27"/>
      <c r="N189" s="1">
        <v>3</v>
      </c>
      <c r="O189" s="27">
        <f t="shared" si="6"/>
        <v>660.75</v>
      </c>
      <c r="P189" s="27">
        <v>660.75</v>
      </c>
      <c r="Q189" s="27"/>
      <c r="R189" s="20"/>
    </row>
    <row r="190" spans="1:38" s="28" customFormat="1" ht="18.75" customHeight="1">
      <c r="A190" s="24"/>
      <c r="B190" s="23" t="s">
        <v>113</v>
      </c>
      <c r="C190" s="24" t="s">
        <v>18</v>
      </c>
      <c r="D190" s="23"/>
      <c r="E190" s="23" t="s">
        <v>19</v>
      </c>
      <c r="F190" s="23" t="s">
        <v>469</v>
      </c>
      <c r="G190" s="23" t="s">
        <v>122</v>
      </c>
      <c r="H190" s="25">
        <v>30</v>
      </c>
      <c r="I190" s="1">
        <v>4</v>
      </c>
      <c r="J190" s="26">
        <v>4</v>
      </c>
      <c r="K190" s="27">
        <f t="shared" si="5"/>
        <v>21623.34</v>
      </c>
      <c r="L190" s="27">
        <v>21623.34</v>
      </c>
      <c r="M190" s="27"/>
      <c r="N190" s="1">
        <v>18</v>
      </c>
      <c r="O190" s="27">
        <f t="shared" si="6"/>
        <v>87493.26</v>
      </c>
      <c r="P190" s="27">
        <v>87493.26</v>
      </c>
      <c r="Q190" s="27"/>
      <c r="R190" s="31"/>
    </row>
    <row r="191" spans="1:38" ht="20.25" customHeight="1">
      <c r="A191" s="24">
        <v>99</v>
      </c>
      <c r="B191" s="23" t="s">
        <v>114</v>
      </c>
      <c r="C191" s="24" t="s">
        <v>18</v>
      </c>
      <c r="D191" s="23"/>
      <c r="E191" s="23" t="s">
        <v>41</v>
      </c>
      <c r="F191" s="23" t="s">
        <v>443</v>
      </c>
      <c r="G191" s="23" t="s">
        <v>142</v>
      </c>
      <c r="H191" s="25">
        <v>9</v>
      </c>
      <c r="I191" s="1">
        <v>5</v>
      </c>
      <c r="J191" s="26">
        <v>6</v>
      </c>
      <c r="K191" s="27">
        <f t="shared" si="5"/>
        <v>0</v>
      </c>
      <c r="L191" s="27"/>
      <c r="M191" s="27"/>
      <c r="N191" s="1">
        <v>4</v>
      </c>
      <c r="O191" s="27">
        <f t="shared" si="6"/>
        <v>12416.6</v>
      </c>
      <c r="P191" s="27">
        <v>12416.6</v>
      </c>
      <c r="Q191" s="27"/>
      <c r="R191" s="20"/>
    </row>
    <row r="192" spans="1:38" s="28" customFormat="1" ht="16.899999999999999" customHeight="1">
      <c r="A192" s="24"/>
      <c r="B192" s="23" t="s">
        <v>141</v>
      </c>
      <c r="C192" s="24" t="s">
        <v>18</v>
      </c>
      <c r="D192" s="23"/>
      <c r="E192" s="23" t="s">
        <v>41</v>
      </c>
      <c r="F192" s="23" t="s">
        <v>368</v>
      </c>
      <c r="G192" s="23" t="s">
        <v>136</v>
      </c>
      <c r="H192" s="25">
        <v>12</v>
      </c>
      <c r="I192" s="2">
        <v>3</v>
      </c>
      <c r="J192" s="26">
        <v>3</v>
      </c>
      <c r="K192" s="27">
        <f t="shared" si="5"/>
        <v>12686.4</v>
      </c>
      <c r="L192" s="27">
        <v>12686.4</v>
      </c>
      <c r="M192" s="27"/>
      <c r="N192" s="2">
        <v>6</v>
      </c>
      <c r="O192" s="27">
        <f t="shared" si="6"/>
        <v>21848.799999999999</v>
      </c>
      <c r="P192" s="27">
        <v>21848.799999999999</v>
      </c>
      <c r="Q192" s="27"/>
      <c r="R192" s="31"/>
    </row>
    <row r="193" spans="1:44" ht="16.899999999999999" customHeight="1">
      <c r="A193" s="24">
        <v>100</v>
      </c>
      <c r="B193" s="23" t="s">
        <v>309</v>
      </c>
      <c r="C193" s="24" t="s">
        <v>18</v>
      </c>
      <c r="D193" s="23"/>
      <c r="E193" s="23" t="s">
        <v>19</v>
      </c>
      <c r="F193" s="23" t="s">
        <v>442</v>
      </c>
      <c r="G193" s="23" t="s">
        <v>142</v>
      </c>
      <c r="H193" s="25">
        <v>29</v>
      </c>
      <c r="I193" s="2">
        <v>25</v>
      </c>
      <c r="J193" s="26">
        <v>26</v>
      </c>
      <c r="K193" s="27">
        <f t="shared" si="5"/>
        <v>23580.67</v>
      </c>
      <c r="L193" s="27">
        <v>7701.71</v>
      </c>
      <c r="M193" s="27">
        <v>15878.96</v>
      </c>
      <c r="N193" s="2"/>
      <c r="O193" s="27">
        <f t="shared" si="6"/>
        <v>0</v>
      </c>
      <c r="P193" s="27"/>
      <c r="Q193" s="27"/>
      <c r="R193" s="20"/>
    </row>
    <row r="194" spans="1:44" s="28" customFormat="1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343</v>
      </c>
      <c r="G194" s="23" t="s">
        <v>122</v>
      </c>
      <c r="H194" s="25">
        <v>8</v>
      </c>
      <c r="I194" s="2">
        <v>2</v>
      </c>
      <c r="J194" s="26">
        <v>2</v>
      </c>
      <c r="K194" s="27">
        <f t="shared" si="5"/>
        <v>1233.4000000000001</v>
      </c>
      <c r="L194" s="27">
        <v>1233.4000000000001</v>
      </c>
      <c r="M194" s="27"/>
      <c r="N194" s="2"/>
      <c r="O194" s="27">
        <f t="shared" si="6"/>
        <v>0</v>
      </c>
      <c r="P194" s="27"/>
      <c r="Q194" s="27"/>
      <c r="R194" s="31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324</v>
      </c>
      <c r="G195" s="23" t="s">
        <v>124</v>
      </c>
      <c r="H195" s="25">
        <v>1</v>
      </c>
      <c r="I195" s="2"/>
      <c r="J195" s="26"/>
      <c r="K195" s="27">
        <f t="shared" si="5"/>
        <v>0</v>
      </c>
      <c r="L195" s="27"/>
      <c r="M195" s="27"/>
      <c r="N195" s="2"/>
      <c r="O195" s="27">
        <f t="shared" si="6"/>
        <v>0</v>
      </c>
      <c r="P195" s="27"/>
      <c r="Q195" s="27"/>
      <c r="R195" s="31"/>
    </row>
    <row r="196" spans="1:44" ht="24.6" customHeight="1">
      <c r="A196" s="29">
        <v>101</v>
      </c>
      <c r="B196" s="30" t="s">
        <v>115</v>
      </c>
      <c r="C196" s="29" t="s">
        <v>52</v>
      </c>
      <c r="D196" s="30" t="s">
        <v>110</v>
      </c>
      <c r="E196" s="30" t="s">
        <v>19</v>
      </c>
      <c r="F196" s="30"/>
      <c r="G196" s="30" t="s">
        <v>142</v>
      </c>
      <c r="H196" s="25">
        <v>0</v>
      </c>
      <c r="I196" s="1"/>
      <c r="J196" s="26"/>
      <c r="K196" s="27">
        <f t="shared" si="5"/>
        <v>0</v>
      </c>
      <c r="L196" s="27"/>
      <c r="M196" s="27"/>
      <c r="N196" s="1">
        <v>1</v>
      </c>
      <c r="O196" s="27">
        <f t="shared" si="6"/>
        <v>0</v>
      </c>
      <c r="P196" s="27"/>
      <c r="Q196" s="27"/>
      <c r="R196" s="20"/>
    </row>
    <row r="197" spans="1:44" s="28" customFormat="1" ht="32.25" customHeight="1">
      <c r="A197" s="29"/>
      <c r="B197" s="30" t="s">
        <v>115</v>
      </c>
      <c r="C197" s="29" t="s">
        <v>52</v>
      </c>
      <c r="D197" s="30" t="s">
        <v>110</v>
      </c>
      <c r="E197" s="30" t="s">
        <v>19</v>
      </c>
      <c r="F197" s="30" t="s">
        <v>292</v>
      </c>
      <c r="G197" s="30" t="s">
        <v>122</v>
      </c>
      <c r="H197" s="25">
        <v>0</v>
      </c>
      <c r="I197" s="1"/>
      <c r="J197" s="44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31"/>
    </row>
    <row r="198" spans="1:44" ht="34.9" customHeight="1">
      <c r="A198" s="29">
        <v>102</v>
      </c>
      <c r="B198" s="30" t="s">
        <v>116</v>
      </c>
      <c r="C198" s="29" t="s">
        <v>52</v>
      </c>
      <c r="D198" s="30" t="s">
        <v>117</v>
      </c>
      <c r="E198" s="30" t="s">
        <v>19</v>
      </c>
      <c r="F198" s="30" t="s">
        <v>444</v>
      </c>
      <c r="G198" s="30" t="s">
        <v>142</v>
      </c>
      <c r="H198" s="25">
        <v>43</v>
      </c>
      <c r="I198" s="1">
        <v>31</v>
      </c>
      <c r="J198" s="44">
        <v>32</v>
      </c>
      <c r="K198" s="27">
        <f t="shared" si="5"/>
        <v>39374.14</v>
      </c>
      <c r="L198" s="27">
        <v>33986.29</v>
      </c>
      <c r="M198" s="27">
        <v>5387.85</v>
      </c>
      <c r="N198" s="1">
        <v>5</v>
      </c>
      <c r="O198" s="27">
        <f t="shared" si="6"/>
        <v>23453.46</v>
      </c>
      <c r="P198" s="27">
        <v>14077.71</v>
      </c>
      <c r="Q198" s="27">
        <v>9375.75</v>
      </c>
      <c r="R198" s="20"/>
    </row>
    <row r="199" spans="1:44" ht="28.5" customHeight="1">
      <c r="A199" s="29">
        <v>103</v>
      </c>
      <c r="B199" s="30" t="s">
        <v>209</v>
      </c>
      <c r="C199" s="29" t="s">
        <v>18</v>
      </c>
      <c r="D199" s="30"/>
      <c r="E199" s="30" t="s">
        <v>19</v>
      </c>
      <c r="F199" s="30" t="s">
        <v>123</v>
      </c>
      <c r="G199" s="30" t="s">
        <v>142</v>
      </c>
      <c r="H199" s="25">
        <v>0</v>
      </c>
      <c r="I199" s="1"/>
      <c r="J199" s="44"/>
      <c r="K199" s="27">
        <f t="shared" si="5"/>
        <v>0</v>
      </c>
      <c r="L199" s="27"/>
      <c r="M199" s="27"/>
      <c r="N199" s="1"/>
      <c r="O199" s="27">
        <f t="shared" si="6"/>
        <v>0</v>
      </c>
      <c r="P199" s="27"/>
      <c r="Q199" s="27"/>
      <c r="R199" s="20"/>
    </row>
    <row r="200" spans="1:44" ht="19.5" customHeight="1">
      <c r="A200" s="29">
        <v>104</v>
      </c>
      <c r="B200" s="30" t="s">
        <v>118</v>
      </c>
      <c r="C200" s="29" t="s">
        <v>18</v>
      </c>
      <c r="D200" s="30"/>
      <c r="E200" s="30" t="s">
        <v>41</v>
      </c>
      <c r="F200" s="30" t="s">
        <v>445</v>
      </c>
      <c r="G200" s="30" t="s">
        <v>142</v>
      </c>
      <c r="H200" s="25">
        <v>26</v>
      </c>
      <c r="I200" s="1">
        <v>14</v>
      </c>
      <c r="J200" s="44">
        <v>15</v>
      </c>
      <c r="K200" s="27">
        <f t="shared" si="5"/>
        <v>10009.780000000001</v>
      </c>
      <c r="L200" s="27">
        <v>10009.780000000001</v>
      </c>
      <c r="M200" s="27"/>
      <c r="N200" s="1">
        <v>25</v>
      </c>
      <c r="O200" s="27">
        <f t="shared" si="6"/>
        <v>33365.57</v>
      </c>
      <c r="P200" s="27">
        <v>33365.57</v>
      </c>
      <c r="Q200" s="27"/>
      <c r="R200" s="20"/>
    </row>
    <row r="201" spans="1:44" s="28" customFormat="1" ht="30.6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298</v>
      </c>
      <c r="G201" s="23" t="s">
        <v>124</v>
      </c>
      <c r="H201" s="25">
        <v>0</v>
      </c>
      <c r="I201" s="1"/>
      <c r="J201" s="44"/>
      <c r="K201" s="27">
        <f t="shared" si="5"/>
        <v>0</v>
      </c>
      <c r="L201" s="27"/>
      <c r="M201" s="27"/>
      <c r="N201" s="1">
        <v>1</v>
      </c>
      <c r="O201" s="27">
        <f t="shared" si="6"/>
        <v>5462.2</v>
      </c>
      <c r="P201" s="27">
        <v>5462.2</v>
      </c>
      <c r="Q201" s="27"/>
      <c r="R201" s="31"/>
    </row>
    <row r="202" spans="1:44" s="28" customFormat="1" ht="27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123</v>
      </c>
      <c r="G202" s="23" t="s">
        <v>136</v>
      </c>
      <c r="H202" s="25">
        <v>0</v>
      </c>
      <c r="I202" s="2"/>
      <c r="J202" s="26"/>
      <c r="K202" s="27">
        <f t="shared" si="5"/>
        <v>0</v>
      </c>
      <c r="L202" s="27"/>
      <c r="M202" s="27"/>
      <c r="N202" s="2"/>
      <c r="O202" s="27">
        <f t="shared" si="6"/>
        <v>0</v>
      </c>
      <c r="P202" s="27"/>
      <c r="Q202" s="27"/>
      <c r="R202" s="31"/>
    </row>
    <row r="203" spans="1:44" s="14" customFormat="1" ht="27" customHeight="1">
      <c r="A203" s="46">
        <v>105</v>
      </c>
      <c r="B203" s="60" t="s">
        <v>325</v>
      </c>
      <c r="C203" s="46" t="s">
        <v>18</v>
      </c>
      <c r="D203" s="60"/>
      <c r="E203" s="60" t="s">
        <v>36</v>
      </c>
      <c r="F203" s="60" t="s">
        <v>446</v>
      </c>
      <c r="G203" s="60" t="s">
        <v>142</v>
      </c>
      <c r="H203" s="61">
        <v>12</v>
      </c>
      <c r="I203" s="32">
        <v>5</v>
      </c>
      <c r="J203" s="86">
        <v>5</v>
      </c>
      <c r="K203" s="27">
        <f t="shared" ref="K203:K205" si="7">L203+M203</f>
        <v>0</v>
      </c>
      <c r="L203" s="63"/>
      <c r="M203" s="63"/>
      <c r="N203" s="32"/>
      <c r="O203" s="27">
        <f t="shared" ref="O203:O205" si="8">P203+Q203</f>
        <v>0</v>
      </c>
      <c r="P203" s="63"/>
      <c r="Q203" s="63"/>
      <c r="R203" s="20"/>
      <c r="AM203" s="4"/>
      <c r="AN203" s="4"/>
      <c r="AO203" s="4"/>
      <c r="AP203" s="4"/>
      <c r="AQ203" s="4"/>
      <c r="AR203" s="4"/>
    </row>
    <row r="204" spans="1:44" s="28" customFormat="1" ht="27" customHeight="1">
      <c r="A204" s="46"/>
      <c r="B204" s="23" t="s">
        <v>325</v>
      </c>
      <c r="C204" s="24" t="s">
        <v>18</v>
      </c>
      <c r="D204" s="23"/>
      <c r="E204" s="23" t="s">
        <v>36</v>
      </c>
      <c r="F204" s="23" t="s">
        <v>369</v>
      </c>
      <c r="G204" s="23" t="s">
        <v>124</v>
      </c>
      <c r="H204" s="25">
        <v>3</v>
      </c>
      <c r="I204" s="2"/>
      <c r="J204" s="26"/>
      <c r="K204" s="27">
        <f t="shared" si="7"/>
        <v>0</v>
      </c>
      <c r="L204" s="27"/>
      <c r="M204" s="27"/>
      <c r="N204" s="2"/>
      <c r="O204" s="27">
        <f t="shared" si="8"/>
        <v>0</v>
      </c>
      <c r="P204" s="27"/>
      <c r="Q204" s="27"/>
      <c r="R204" s="31"/>
    </row>
    <row r="205" spans="1:44" s="28" customFormat="1" ht="18.75" customHeight="1" thickBot="1">
      <c r="A205" s="47"/>
      <c r="B205" s="48" t="s">
        <v>325</v>
      </c>
      <c r="C205" s="49" t="s">
        <v>18</v>
      </c>
      <c r="D205" s="48"/>
      <c r="E205" s="48" t="s">
        <v>370</v>
      </c>
      <c r="F205" s="48" t="s">
        <v>371</v>
      </c>
      <c r="G205" s="48" t="s">
        <v>136</v>
      </c>
      <c r="H205" s="50">
        <v>3</v>
      </c>
      <c r="I205" s="33"/>
      <c r="J205" s="51"/>
      <c r="K205" s="27">
        <f t="shared" si="7"/>
        <v>0</v>
      </c>
      <c r="L205" s="52"/>
      <c r="M205" s="52"/>
      <c r="N205" s="33"/>
      <c r="O205" s="27">
        <f t="shared" si="8"/>
        <v>0</v>
      </c>
      <c r="P205" s="52"/>
      <c r="Q205" s="52"/>
      <c r="R205" s="31"/>
    </row>
    <row r="206" spans="1:44" s="14" customFormat="1" ht="16.5" customHeight="1">
      <c r="A206" s="87" t="s">
        <v>145</v>
      </c>
      <c r="B206" s="87"/>
      <c r="C206" s="88"/>
      <c r="D206" s="89"/>
      <c r="E206" s="89"/>
      <c r="F206" s="89"/>
      <c r="G206" s="89"/>
      <c r="H206" s="88">
        <f>SUM(H10:H205)</f>
        <v>2578</v>
      </c>
      <c r="I206" s="88">
        <f>SUM(I10:I205)</f>
        <v>1198</v>
      </c>
      <c r="J206" s="88">
        <f>SUM(J10:J205)</f>
        <v>1286</v>
      </c>
      <c r="K206" s="90">
        <f>SUM(K10:K205)</f>
        <v>1065618.67</v>
      </c>
      <c r="L206" s="90">
        <f t="shared" ref="L206:M206" si="9">SUM(L10:L205)</f>
        <v>572493.09000000008</v>
      </c>
      <c r="M206" s="88">
        <f t="shared" si="9"/>
        <v>493125.57999999996</v>
      </c>
      <c r="N206" s="88">
        <f>SUM(N10:N205)</f>
        <v>1043</v>
      </c>
      <c r="O206" s="90">
        <f>SUM(O10:O205)</f>
        <v>2786011.3500000006</v>
      </c>
      <c r="P206" s="90">
        <f>SUM(P10:P205)</f>
        <v>2370035.3300000005</v>
      </c>
      <c r="Q206" s="90">
        <f>SUM(Q10:Q205)</f>
        <v>415976.02</v>
      </c>
      <c r="R206" s="20"/>
      <c r="AM206" s="4"/>
      <c r="AN206" s="4"/>
      <c r="AO206" s="4"/>
      <c r="AP206" s="4"/>
      <c r="AQ206" s="4"/>
      <c r="AR206" s="4"/>
    </row>
    <row r="207" spans="1:44" s="14" customFormat="1" ht="15" customHeight="1">
      <c r="A207" s="5"/>
      <c r="B207" s="6"/>
      <c r="C207" s="5"/>
      <c r="D207" s="6"/>
      <c r="E207" s="6"/>
      <c r="F207" s="6"/>
      <c r="G207" s="6"/>
      <c r="H207" s="9"/>
      <c r="I207" s="9"/>
      <c r="J207" s="9"/>
      <c r="K207" s="9"/>
      <c r="L207" s="9"/>
      <c r="M207" s="11"/>
      <c r="N207" s="9"/>
      <c r="O207" s="9"/>
      <c r="P207" s="5"/>
      <c r="Q207" s="13"/>
      <c r="R207" s="20"/>
      <c r="AM207" s="4"/>
      <c r="AN207" s="4"/>
      <c r="AO207" s="4"/>
      <c r="AP207" s="4"/>
      <c r="AQ207" s="4"/>
      <c r="AR207" s="4"/>
    </row>
    <row r="208" spans="1:44" s="14" customForma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12"/>
      <c r="N208" s="4"/>
      <c r="O208" s="4"/>
      <c r="P208" s="4"/>
      <c r="Q208" s="12"/>
      <c r="R208" s="20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15"/>
      <c r="M209" s="19"/>
      <c r="N209" s="4"/>
      <c r="O209" s="4"/>
      <c r="P209" s="4"/>
      <c r="Q209" s="12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2"/>
      <c r="N210" s="15"/>
      <c r="O210" s="15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15"/>
      <c r="Q211" s="19"/>
      <c r="S211" s="20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>
      <c r="K215" s="15"/>
      <c r="L215" s="15"/>
      <c r="M215" s="15"/>
      <c r="N215" s="15"/>
      <c r="O215" s="15"/>
      <c r="P215" s="15"/>
      <c r="Q215" s="19"/>
      <c r="S215" s="20"/>
    </row>
    <row r="217" spans="1:44">
      <c r="K217" s="15"/>
      <c r="O217" s="15"/>
      <c r="P217" s="15"/>
    </row>
    <row r="220" spans="1:44">
      <c r="O220" s="15"/>
    </row>
    <row r="221" spans="1:44" s="12" customForma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15"/>
      <c r="N221" s="4"/>
      <c r="O221" s="4"/>
      <c r="P221" s="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4"/>
      <c r="AN221" s="4"/>
      <c r="AO221" s="4"/>
      <c r="AP221" s="4"/>
      <c r="AQ221" s="4"/>
      <c r="AR221" s="4"/>
    </row>
  </sheetData>
  <mergeCells count="8">
    <mergeCell ref="A206:B206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R222"/>
  <sheetViews>
    <sheetView topLeftCell="A197" zoomScaleNormal="100" workbookViewId="0">
      <selection activeCell="A204" sqref="A7:Q207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24</v>
      </c>
      <c r="I11" s="1">
        <v>10</v>
      </c>
      <c r="J11" s="26">
        <v>10</v>
      </c>
      <c r="K11" s="27">
        <f t="shared" ref="K11:K74" si="1">L11+M11</f>
        <v>18067.2</v>
      </c>
      <c r="L11" s="27">
        <v>18067.2</v>
      </c>
      <c r="M11" s="27"/>
      <c r="N11" s="1">
        <v>16</v>
      </c>
      <c r="O11" s="27">
        <f t="shared" ref="O11:O74" si="2">P11+Q11</f>
        <v>67766.52</v>
      </c>
      <c r="P11" s="27">
        <v>67766.52</v>
      </c>
      <c r="Q11" s="27"/>
      <c r="R11" s="31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34</v>
      </c>
      <c r="I12" s="1">
        <v>11</v>
      </c>
      <c r="J12" s="26">
        <v>15</v>
      </c>
      <c r="K12" s="27">
        <f t="shared" si="1"/>
        <v>6583.05</v>
      </c>
      <c r="L12" s="27">
        <v>6583.05</v>
      </c>
      <c r="M12" s="27"/>
      <c r="N12" s="1">
        <v>12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2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31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13</v>
      </c>
      <c r="J14" s="26">
        <v>20</v>
      </c>
      <c r="K14" s="27">
        <f t="shared" si="1"/>
        <v>14230.66</v>
      </c>
      <c r="L14" s="27">
        <v>14230.66</v>
      </c>
      <c r="M14" s="27"/>
      <c r="N14" s="1">
        <v>16</v>
      </c>
      <c r="O14" s="27">
        <f t="shared" si="2"/>
        <v>34494.57</v>
      </c>
      <c r="P14" s="27">
        <f>30961.32+3533.25</f>
        <v>34494.57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22150.36</v>
      </c>
      <c r="L15" s="27">
        <v>22150.36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31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47</v>
      </c>
      <c r="I16" s="1">
        <v>41</v>
      </c>
      <c r="J16" s="26">
        <v>50</v>
      </c>
      <c r="K16" s="27">
        <f t="shared" si="1"/>
        <v>35564.14</v>
      </c>
      <c r="L16" s="27">
        <v>35564.14</v>
      </c>
      <c r="M16" s="27"/>
      <c r="N16" s="1">
        <v>24</v>
      </c>
      <c r="O16" s="27">
        <f t="shared" si="2"/>
        <v>69037.62</v>
      </c>
      <c r="P16" s="27">
        <f>65062.86+3974.76</f>
        <v>69037.62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44</v>
      </c>
      <c r="I20" s="1">
        <v>35</v>
      </c>
      <c r="J20" s="26">
        <v>36</v>
      </c>
      <c r="K20" s="27">
        <f t="shared" si="1"/>
        <v>32460.240000000002</v>
      </c>
      <c r="L20" s="27">
        <v>32460.240000000002</v>
      </c>
      <c r="M20" s="27"/>
      <c r="N20" s="1">
        <v>26</v>
      </c>
      <c r="O20" s="27">
        <f t="shared" si="2"/>
        <v>74450.66</v>
      </c>
      <c r="P20" s="27">
        <f>70362.9+2269.02+422.88+1395.86</f>
        <v>74450.66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31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14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12</v>
      </c>
      <c r="O22" s="27">
        <f t="shared" si="2"/>
        <v>21286.2</v>
      </c>
      <c r="P22" s="27">
        <v>21286.2</v>
      </c>
      <c r="Q22" s="27"/>
      <c r="R22" s="31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1</v>
      </c>
      <c r="O23" s="27">
        <f t="shared" si="2"/>
        <v>6214.5599999999995</v>
      </c>
      <c r="P23" s="27">
        <v>6214.5599999999995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1"/>
        <v>0</v>
      </c>
      <c r="L24" s="27"/>
      <c r="M24" s="27"/>
      <c r="N24" s="1">
        <v>2</v>
      </c>
      <c r="O24" s="27">
        <f t="shared" si="2"/>
        <v>0</v>
      </c>
      <c r="P24" s="27"/>
      <c r="Q24" s="27"/>
      <c r="R24" s="31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/>
    </row>
    <row r="26" spans="1:38" s="28" customFormat="1" ht="15" customHeight="1">
      <c r="A26" s="41">
        <v>9</v>
      </c>
      <c r="B26" s="37" t="s">
        <v>484</v>
      </c>
      <c r="C26" s="41" t="s">
        <v>18</v>
      </c>
      <c r="D26" s="37"/>
      <c r="E26" s="37" t="s">
        <v>104</v>
      </c>
      <c r="F26" s="37" t="s">
        <v>487</v>
      </c>
      <c r="G26" s="37" t="s">
        <v>122</v>
      </c>
      <c r="H26" s="42">
        <v>7</v>
      </c>
      <c r="I26" s="40"/>
      <c r="J26" s="43"/>
      <c r="K26" s="27">
        <f t="shared" si="1"/>
        <v>0</v>
      </c>
      <c r="L26" s="39"/>
      <c r="M26" s="39"/>
      <c r="N26" s="40"/>
      <c r="O26" s="27">
        <f t="shared" si="2"/>
        <v>0</v>
      </c>
      <c r="P26" s="39"/>
      <c r="Q26" s="39"/>
      <c r="R26" s="31"/>
    </row>
    <row r="27" spans="1:3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f t="shared" si="1"/>
        <v>4086.08</v>
      </c>
      <c r="L27" s="27">
        <v>4086.08</v>
      </c>
      <c r="M27" s="27"/>
      <c r="N27" s="1">
        <v>3</v>
      </c>
      <c r="O27" s="27">
        <f t="shared" si="2"/>
        <v>3570.69</v>
      </c>
      <c r="P27" s="27">
        <f>3570.69</f>
        <v>3570.69</v>
      </c>
      <c r="Q27" s="27"/>
      <c r="R27" s="20"/>
    </row>
    <row r="28" spans="1:3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16</v>
      </c>
      <c r="I28" s="1">
        <v>8</v>
      </c>
      <c r="J28" s="44">
        <v>11</v>
      </c>
      <c r="K28" s="27">
        <f t="shared" si="1"/>
        <v>18888.64</v>
      </c>
      <c r="L28" s="27">
        <v>18888.64</v>
      </c>
      <c r="M28" s="27"/>
      <c r="N28" s="1">
        <v>4</v>
      </c>
      <c r="O28" s="27">
        <f t="shared" si="2"/>
        <v>18079.97</v>
      </c>
      <c r="P28" s="27">
        <f>12527.2+5552.77</f>
        <v>18079.97</v>
      </c>
      <c r="Q28" s="27"/>
      <c r="R28" s="20"/>
    </row>
    <row r="29" spans="1:38" s="28" customFormat="1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f t="shared" si="1"/>
        <v>0</v>
      </c>
      <c r="L29" s="27"/>
      <c r="M29" s="27"/>
      <c r="N29" s="1">
        <v>2</v>
      </c>
      <c r="O29" s="27">
        <f t="shared" si="2"/>
        <v>3259.7</v>
      </c>
      <c r="P29" s="27">
        <v>3259.7</v>
      </c>
      <c r="Q29" s="27"/>
      <c r="R29" s="31"/>
    </row>
    <row r="30" spans="1:38" s="7" customFormat="1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21</v>
      </c>
      <c r="I30" s="1">
        <v>18</v>
      </c>
      <c r="J30" s="26">
        <v>20</v>
      </c>
      <c r="K30" s="27">
        <f t="shared" si="1"/>
        <v>14723.62</v>
      </c>
      <c r="L30" s="27">
        <v>14723.62</v>
      </c>
      <c r="M30" s="27"/>
      <c r="N30" s="1">
        <v>19</v>
      </c>
      <c r="O30" s="27">
        <f t="shared" si="2"/>
        <v>20737.96</v>
      </c>
      <c r="P30" s="27">
        <v>20737.96</v>
      </c>
      <c r="Q30" s="27"/>
      <c r="R30" s="20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1:38" s="28" customFormat="1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f t="shared" si="1"/>
        <v>0</v>
      </c>
      <c r="L31" s="27"/>
      <c r="M31" s="27"/>
      <c r="N31" s="2">
        <v>4</v>
      </c>
      <c r="O31" s="27">
        <f t="shared" si="2"/>
        <v>0</v>
      </c>
      <c r="P31" s="27"/>
      <c r="Q31" s="27"/>
      <c r="R31" s="31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f t="shared" si="1"/>
        <v>2819.2</v>
      </c>
      <c r="L32" s="27">
        <v>2819.2</v>
      </c>
      <c r="M32" s="27"/>
      <c r="N32" s="2">
        <v>5</v>
      </c>
      <c r="O32" s="27">
        <f t="shared" si="2"/>
        <v>4921.8999999999996</v>
      </c>
      <c r="P32" s="27">
        <v>4921.8999999999996</v>
      </c>
      <c r="Q32" s="27"/>
      <c r="R32" s="31"/>
    </row>
    <row r="33" spans="1:38" s="7" customFormat="1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21</v>
      </c>
      <c r="I33" s="1">
        <v>15</v>
      </c>
      <c r="J33" s="26">
        <v>22</v>
      </c>
      <c r="K33" s="27">
        <f t="shared" si="1"/>
        <v>9975.4599999999991</v>
      </c>
      <c r="L33" s="27">
        <f>6122.51+3852.95</f>
        <v>9975.4599999999991</v>
      </c>
      <c r="M33" s="27"/>
      <c r="N33" s="1">
        <v>15</v>
      </c>
      <c r="O33" s="27">
        <f t="shared" si="2"/>
        <v>51128.02</v>
      </c>
      <c r="P33" s="27">
        <v>51128.02</v>
      </c>
      <c r="Q33" s="27"/>
      <c r="R33" s="20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1:38" s="28" customFormat="1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6</v>
      </c>
      <c r="I34" s="2">
        <v>2</v>
      </c>
      <c r="J34" s="26">
        <v>2</v>
      </c>
      <c r="K34" s="27">
        <f t="shared" si="1"/>
        <v>1380.75</v>
      </c>
      <c r="L34" s="27">
        <v>1380.75</v>
      </c>
      <c r="M34" s="27"/>
      <c r="N34" s="2">
        <v>4</v>
      </c>
      <c r="O34" s="27">
        <f t="shared" si="2"/>
        <v>2995.4</v>
      </c>
      <c r="P34" s="27">
        <v>2995.4</v>
      </c>
      <c r="Q34" s="27"/>
      <c r="R34" s="31"/>
    </row>
    <row r="35" spans="1:3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f t="shared" si="1"/>
        <v>0</v>
      </c>
      <c r="L35" s="27"/>
      <c r="M35" s="27"/>
      <c r="N35" s="1">
        <v>5</v>
      </c>
      <c r="O35" s="27">
        <f t="shared" si="2"/>
        <v>17504.7</v>
      </c>
      <c r="P35" s="27">
        <f>16623.7+881</f>
        <v>17504.7</v>
      </c>
      <c r="Q35" s="27"/>
      <c r="R35" s="20"/>
    </row>
    <row r="36" spans="1:38" s="28" customFormat="1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f t="shared" si="1"/>
        <v>528.6</v>
      </c>
      <c r="L36" s="27">
        <v>528.6</v>
      </c>
      <c r="M36" s="27"/>
      <c r="N36" s="1">
        <v>7</v>
      </c>
      <c r="O36" s="27">
        <f t="shared" si="2"/>
        <v>18317.34</v>
      </c>
      <c r="P36" s="27">
        <v>18317.34</v>
      </c>
      <c r="Q36" s="27"/>
      <c r="R36" s="31"/>
    </row>
    <row r="37" spans="1:38" s="7" customFormat="1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17</v>
      </c>
      <c r="I37" s="1">
        <v>5</v>
      </c>
      <c r="J37" s="26">
        <v>5</v>
      </c>
      <c r="K37" s="27">
        <f t="shared" si="1"/>
        <v>0</v>
      </c>
      <c r="L37" s="27"/>
      <c r="M37" s="27"/>
      <c r="N37" s="1">
        <v>10</v>
      </c>
      <c r="O37" s="27">
        <f t="shared" si="2"/>
        <v>13827.210000000001</v>
      </c>
      <c r="P37" s="27">
        <f>11156.02+2671.19</f>
        <v>13827.210000000001</v>
      </c>
      <c r="Q37" s="27"/>
      <c r="R37" s="20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1:38" s="28" customFormat="1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19</v>
      </c>
      <c r="I38" s="2">
        <v>1</v>
      </c>
      <c r="J38" s="26">
        <v>1</v>
      </c>
      <c r="K38" s="27">
        <f t="shared" si="1"/>
        <v>10193.5</v>
      </c>
      <c r="L38" s="27">
        <v>10193.5</v>
      </c>
      <c r="M38" s="27"/>
      <c r="N38" s="2">
        <v>6</v>
      </c>
      <c r="O38" s="27">
        <f t="shared" si="2"/>
        <v>15946.1</v>
      </c>
      <c r="P38" s="27">
        <v>15946.1</v>
      </c>
      <c r="Q38" s="27"/>
      <c r="R38" s="31"/>
    </row>
    <row r="39" spans="1:3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21</v>
      </c>
      <c r="I39" s="1">
        <v>13</v>
      </c>
      <c r="J39" s="26">
        <v>15</v>
      </c>
      <c r="K39" s="27">
        <f t="shared" si="1"/>
        <v>17627.599999999999</v>
      </c>
      <c r="L39" s="27">
        <v>17627.599999999999</v>
      </c>
      <c r="M39" s="27"/>
      <c r="N39" s="1">
        <v>12</v>
      </c>
      <c r="O39" s="27">
        <f t="shared" si="2"/>
        <v>31911.79</v>
      </c>
      <c r="P39" s="27">
        <f>28541.43+3370.36</f>
        <v>31911.79</v>
      </c>
      <c r="Q39" s="27"/>
      <c r="R39" s="20"/>
    </row>
    <row r="40" spans="1:38" s="28" customFormat="1" ht="14.4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17</v>
      </c>
      <c r="I40" s="2">
        <v>3</v>
      </c>
      <c r="J40" s="26">
        <v>3</v>
      </c>
      <c r="K40" s="27">
        <f t="shared" si="1"/>
        <v>5814.6</v>
      </c>
      <c r="L40" s="27">
        <v>5814.6</v>
      </c>
      <c r="M40" s="27"/>
      <c r="N40" s="2">
        <v>10</v>
      </c>
      <c r="O40" s="27">
        <f t="shared" si="2"/>
        <v>23225.599999999999</v>
      </c>
      <c r="P40" s="27">
        <v>23225.599999999999</v>
      </c>
      <c r="Q40" s="27"/>
      <c r="R40" s="31"/>
    </row>
    <row r="41" spans="1:3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13</v>
      </c>
      <c r="I41" s="1">
        <v>11</v>
      </c>
      <c r="J41" s="26">
        <v>12</v>
      </c>
      <c r="K41" s="27">
        <f t="shared" si="1"/>
        <v>5380.1399999999994</v>
      </c>
      <c r="L41" s="27">
        <f>1131.2+4248.94</f>
        <v>5380.1399999999994</v>
      </c>
      <c r="M41" s="27"/>
      <c r="N41" s="1">
        <v>6</v>
      </c>
      <c r="O41" s="27">
        <f t="shared" si="2"/>
        <v>6914.0999999999995</v>
      </c>
      <c r="P41" s="27">
        <f>4817.32+599.08+1497.7</f>
        <v>6914.0999999999995</v>
      </c>
      <c r="Q41" s="27"/>
      <c r="R41" s="20"/>
    </row>
    <row r="42" spans="1:38" s="28" customFormat="1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15</v>
      </c>
      <c r="I42" s="1"/>
      <c r="J42" s="26"/>
      <c r="K42" s="27">
        <f t="shared" si="1"/>
        <v>0</v>
      </c>
      <c r="L42" s="27"/>
      <c r="M42" s="27"/>
      <c r="N42" s="1">
        <v>5</v>
      </c>
      <c r="O42" s="27">
        <f t="shared" si="2"/>
        <v>6497.99</v>
      </c>
      <c r="P42" s="27">
        <v>6497.99</v>
      </c>
      <c r="Q42" s="27"/>
      <c r="R42" s="31"/>
    </row>
    <row r="43" spans="1:38" s="7" customFormat="1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25</v>
      </c>
      <c r="I43" s="1"/>
      <c r="J43" s="26"/>
      <c r="K43" s="27">
        <f t="shared" si="1"/>
        <v>15890.44</v>
      </c>
      <c r="L43" s="27">
        <v>15890.44</v>
      </c>
      <c r="M43" s="27"/>
      <c r="N43" s="1"/>
      <c r="O43" s="27">
        <f t="shared" si="2"/>
        <v>24085.7</v>
      </c>
      <c r="P43" s="27">
        <v>24085.7</v>
      </c>
      <c r="Q43" s="27"/>
      <c r="R43" s="20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 spans="1:38" s="28" customFormat="1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f t="shared" si="1"/>
        <v>0</v>
      </c>
      <c r="L44" s="27"/>
      <c r="M44" s="27"/>
      <c r="N44" s="2"/>
      <c r="O44" s="27">
        <f t="shared" si="2"/>
        <v>0</v>
      </c>
      <c r="P44" s="27"/>
      <c r="Q44" s="27"/>
      <c r="R44" s="31"/>
    </row>
    <row r="45" spans="1:3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f t="shared" si="1"/>
        <v>0</v>
      </c>
      <c r="L45" s="27"/>
      <c r="M45" s="27"/>
      <c r="N45" s="1">
        <v>5</v>
      </c>
      <c r="O45" s="27">
        <f t="shared" si="2"/>
        <v>35808.350000000006</v>
      </c>
      <c r="P45" s="27">
        <f>34238.41+1569.94</f>
        <v>35808.350000000006</v>
      </c>
      <c r="Q45" s="27"/>
      <c r="R45" s="20"/>
    </row>
    <row r="46" spans="1:38" s="28" customFormat="1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10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6431.3</v>
      </c>
      <c r="P46" s="27">
        <v>6431.3</v>
      </c>
      <c r="Q46" s="27"/>
      <c r="R46" s="31"/>
    </row>
    <row r="47" spans="1:3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f t="shared" si="1"/>
        <v>0</v>
      </c>
      <c r="L47" s="27"/>
      <c r="M47" s="27"/>
      <c r="N47" s="1">
        <v>10</v>
      </c>
      <c r="O47" s="27">
        <f t="shared" si="2"/>
        <v>25165.45</v>
      </c>
      <c r="P47" s="27">
        <f>22402.99+2762.46</f>
        <v>25165.45</v>
      </c>
      <c r="Q47" s="27"/>
      <c r="R47" s="20"/>
    </row>
    <row r="48" spans="1:38" s="28" customFormat="1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10</v>
      </c>
      <c r="I48" s="1">
        <v>2</v>
      </c>
      <c r="J48" s="26">
        <v>2</v>
      </c>
      <c r="K48" s="27">
        <f t="shared" si="1"/>
        <v>0</v>
      </c>
      <c r="L48" s="27"/>
      <c r="M48" s="27"/>
      <c r="N48" s="1">
        <v>9</v>
      </c>
      <c r="O48" s="27">
        <f t="shared" si="2"/>
        <v>20020.73</v>
      </c>
      <c r="P48" s="27">
        <v>20020.73</v>
      </c>
      <c r="Q48" s="27"/>
      <c r="R48" s="31"/>
    </row>
    <row r="49" spans="1:3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19</v>
      </c>
      <c r="I49" s="1">
        <v>16</v>
      </c>
      <c r="J49" s="26">
        <v>17</v>
      </c>
      <c r="K49" s="27">
        <f t="shared" si="1"/>
        <v>11305.32</v>
      </c>
      <c r="L49" s="27">
        <f>8384.28+2921.04</f>
        <v>11305.32</v>
      </c>
      <c r="M49" s="27"/>
      <c r="N49" s="1"/>
      <c r="O49" s="27">
        <f t="shared" si="2"/>
        <v>0</v>
      </c>
      <c r="P49" s="27"/>
      <c r="Q49" s="27"/>
      <c r="R49" s="20"/>
    </row>
    <row r="50" spans="1:38" s="28" customFormat="1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13</v>
      </c>
      <c r="I50" s="1">
        <v>2</v>
      </c>
      <c r="J50" s="26">
        <v>2</v>
      </c>
      <c r="K50" s="27">
        <f>L50+M50</f>
        <v>4050.2</v>
      </c>
      <c r="L50" s="27">
        <v>4050.2</v>
      </c>
      <c r="M50" s="27"/>
      <c r="N50" s="1"/>
      <c r="O50" s="27">
        <f t="shared" si="2"/>
        <v>0</v>
      </c>
      <c r="P50" s="27"/>
      <c r="Q50" s="27"/>
      <c r="R50" s="31"/>
    </row>
    <row r="51" spans="1:3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16</v>
      </c>
      <c r="I51" s="1">
        <v>15</v>
      </c>
      <c r="J51" s="26">
        <v>17</v>
      </c>
      <c r="K51" s="27">
        <f t="shared" si="1"/>
        <v>14488.18</v>
      </c>
      <c r="L51" s="27">
        <f>6913.6+7574.58</f>
        <v>14488.18</v>
      </c>
      <c r="M51" s="27"/>
      <c r="N51" s="1">
        <v>8</v>
      </c>
      <c r="O51" s="27">
        <f t="shared" si="2"/>
        <v>34567.22</v>
      </c>
      <c r="P51" s="27">
        <f>21680.73+1973.37+10913.12</f>
        <v>34567.22</v>
      </c>
      <c r="Q51" s="27"/>
      <c r="R51" s="20"/>
    </row>
    <row r="52" spans="1:38" s="28" customFormat="1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f t="shared" si="1"/>
        <v>0</v>
      </c>
      <c r="L52" s="27"/>
      <c r="M52" s="27"/>
      <c r="N52" s="1"/>
      <c r="O52" s="27">
        <f t="shared" si="2"/>
        <v>0</v>
      </c>
      <c r="P52" s="27"/>
      <c r="Q52" s="27"/>
      <c r="R52" s="31"/>
    </row>
    <row r="53" spans="1:3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f t="shared" si="1"/>
        <v>0</v>
      </c>
      <c r="L53" s="27"/>
      <c r="M53" s="27"/>
      <c r="N53" s="1">
        <v>10</v>
      </c>
      <c r="O53" s="27">
        <f t="shared" si="2"/>
        <v>0</v>
      </c>
      <c r="P53" s="27"/>
      <c r="Q53" s="27"/>
      <c r="R53" s="20"/>
    </row>
    <row r="54" spans="1:38" s="7" customFormat="1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27</v>
      </c>
      <c r="I54" s="1">
        <v>10</v>
      </c>
      <c r="J54" s="26">
        <v>10</v>
      </c>
      <c r="K54" s="27">
        <f t="shared" si="1"/>
        <v>3401.55</v>
      </c>
      <c r="L54" s="27">
        <v>3401.55</v>
      </c>
      <c r="M54" s="27"/>
      <c r="N54" s="1">
        <v>10</v>
      </c>
      <c r="O54" s="27">
        <f t="shared" si="2"/>
        <v>44392.14</v>
      </c>
      <c r="P54" s="27">
        <v>44392.14</v>
      </c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s="28" customFormat="1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12</v>
      </c>
      <c r="I55" s="2">
        <v>1</v>
      </c>
      <c r="J55" s="26">
        <v>1</v>
      </c>
      <c r="K55" s="27">
        <f t="shared" si="1"/>
        <v>2819.2</v>
      </c>
      <c r="L55" s="27">
        <v>2819.2</v>
      </c>
      <c r="M55" s="27"/>
      <c r="N55" s="2">
        <v>2</v>
      </c>
      <c r="O55" s="27">
        <f t="shared" si="2"/>
        <v>6343.2</v>
      </c>
      <c r="P55" s="27">
        <v>6343.2</v>
      </c>
      <c r="Q55" s="27"/>
      <c r="R55" s="31"/>
    </row>
    <row r="56" spans="1:38" s="28" customFormat="1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f t="shared" si="1"/>
        <v>0</v>
      </c>
      <c r="L56" s="27"/>
      <c r="M56" s="27"/>
      <c r="N56" s="2"/>
      <c r="O56" s="27">
        <f t="shared" si="2"/>
        <v>0</v>
      </c>
      <c r="P56" s="27"/>
      <c r="Q56" s="27"/>
      <c r="R56" s="31"/>
    </row>
    <row r="57" spans="1:38" s="28" customFormat="1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30</v>
      </c>
      <c r="I57" s="2">
        <v>1</v>
      </c>
      <c r="J57" s="26">
        <v>1</v>
      </c>
      <c r="K57" s="27">
        <f>L57+M57</f>
        <v>6630</v>
      </c>
      <c r="L57" s="27">
        <v>6630</v>
      </c>
      <c r="M57" s="27"/>
      <c r="N57" s="2"/>
      <c r="O57" s="27">
        <f>P57+Q57</f>
        <v>0</v>
      </c>
      <c r="P57" s="28">
        <v>0</v>
      </c>
      <c r="Q57" s="27"/>
      <c r="R57" s="31"/>
    </row>
    <row r="58" spans="1:38" s="8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f t="shared" si="1"/>
        <v>0</v>
      </c>
      <c r="L58" s="83"/>
      <c r="M58" s="83"/>
      <c r="N58" s="26"/>
      <c r="O58" s="27">
        <f t="shared" si="2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16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47</v>
      </c>
      <c r="I60" s="26">
        <v>22</v>
      </c>
      <c r="J60" s="26">
        <v>22</v>
      </c>
      <c r="K60" s="27">
        <f t="shared" si="1"/>
        <v>15476.810000000001</v>
      </c>
      <c r="L60" s="83">
        <f>12981.51+2495.3</f>
        <v>15476.810000000001</v>
      </c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7" customFormat="1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36</v>
      </c>
      <c r="I61" s="1">
        <v>24</v>
      </c>
      <c r="J61" s="26">
        <v>24</v>
      </c>
      <c r="K61" s="27">
        <f t="shared" si="1"/>
        <v>26838.02</v>
      </c>
      <c r="L61" s="27">
        <v>26838.02</v>
      </c>
      <c r="M61" s="27"/>
      <c r="N61" s="1">
        <v>16</v>
      </c>
      <c r="O61" s="27">
        <f t="shared" si="2"/>
        <v>28261.599999999999</v>
      </c>
      <c r="P61" s="27">
        <v>28261.599999999999</v>
      </c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32</v>
      </c>
      <c r="I62" s="1">
        <v>15</v>
      </c>
      <c r="J62" s="26">
        <v>17</v>
      </c>
      <c r="K62" s="27">
        <f t="shared" si="1"/>
        <v>12863.92</v>
      </c>
      <c r="L62" s="27">
        <v>12863.92</v>
      </c>
      <c r="M62" s="27"/>
      <c r="N62" s="1">
        <v>12</v>
      </c>
      <c r="O62" s="27">
        <f t="shared" si="2"/>
        <v>37111.350000000006</v>
      </c>
      <c r="P62" s="27">
        <v>37111.350000000006</v>
      </c>
      <c r="Q62" s="27"/>
      <c r="R62" s="20"/>
    </row>
    <row r="63" spans="1:38" s="28" customFormat="1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20</v>
      </c>
      <c r="I63" s="1">
        <v>4</v>
      </c>
      <c r="J63" s="26">
        <v>4</v>
      </c>
      <c r="K63" s="27">
        <f t="shared" si="1"/>
        <v>5685.8</v>
      </c>
      <c r="L63" s="27">
        <v>5685.8</v>
      </c>
      <c r="M63" s="27"/>
      <c r="N63" s="1">
        <v>11</v>
      </c>
      <c r="O63" s="27">
        <f t="shared" si="2"/>
        <v>29272.9</v>
      </c>
      <c r="P63" s="27">
        <v>29272.9</v>
      </c>
      <c r="Q63" s="27"/>
      <c r="R63" s="31"/>
    </row>
    <row r="64" spans="1:38" s="7" customFormat="1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16</v>
      </c>
      <c r="K64" s="27">
        <f t="shared" si="1"/>
        <v>20736.11</v>
      </c>
      <c r="L64" s="27">
        <v>20736.11</v>
      </c>
      <c r="M64" s="27"/>
      <c r="N64" s="1">
        <v>21</v>
      </c>
      <c r="O64" s="27">
        <f t="shared" si="2"/>
        <v>26863.22</v>
      </c>
      <c r="P64" s="27">
        <v>26863.22</v>
      </c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s="28" customFormat="1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f t="shared" si="1"/>
        <v>10924.4</v>
      </c>
      <c r="L65" s="27">
        <v>10924.4</v>
      </c>
      <c r="M65" s="27"/>
      <c r="N65" s="1">
        <v>19</v>
      </c>
      <c r="O65" s="27">
        <f t="shared" si="2"/>
        <v>51996.62</v>
      </c>
      <c r="P65" s="27">
        <v>51996.62</v>
      </c>
      <c r="Q65" s="27"/>
      <c r="R65" s="31"/>
    </row>
    <row r="66" spans="1:38" s="7" customFormat="1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5</v>
      </c>
      <c r="J66" s="26">
        <v>5</v>
      </c>
      <c r="K66" s="27">
        <f t="shared" si="1"/>
        <v>6395.62</v>
      </c>
      <c r="L66" s="27">
        <v>6395.62</v>
      </c>
      <c r="M66" s="27"/>
      <c r="N66" s="1">
        <v>5</v>
      </c>
      <c r="O66" s="27">
        <f t="shared" si="2"/>
        <v>11007.39</v>
      </c>
      <c r="P66" s="27">
        <v>11007.39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15</v>
      </c>
      <c r="I67" s="1">
        <v>9</v>
      </c>
      <c r="J67" s="26">
        <v>9</v>
      </c>
      <c r="K67" s="27">
        <f t="shared" si="1"/>
        <v>0</v>
      </c>
      <c r="L67" s="27"/>
      <c r="M67" s="27"/>
      <c r="N67" s="1">
        <v>9</v>
      </c>
      <c r="O67" s="27">
        <f t="shared" si="2"/>
        <v>100020.28</v>
      </c>
      <c r="P67" s="27">
        <v>100020.28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28" customFormat="1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f t="shared" si="1"/>
        <v>0</v>
      </c>
      <c r="L68" s="27"/>
      <c r="M68" s="27"/>
      <c r="N68" s="1">
        <v>4</v>
      </c>
      <c r="O68" s="27">
        <f t="shared" si="2"/>
        <v>8772.65</v>
      </c>
      <c r="P68" s="27">
        <v>8772.65</v>
      </c>
      <c r="Q68" s="27"/>
      <c r="R68" s="31"/>
    </row>
    <row r="69" spans="1:3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20</v>
      </c>
      <c r="I69" s="1">
        <v>9</v>
      </c>
      <c r="J69" s="26">
        <v>11</v>
      </c>
      <c r="K69" s="27">
        <f t="shared" si="1"/>
        <v>1399.0300000000002</v>
      </c>
      <c r="L69" s="27">
        <f>1046.63+352.4</f>
        <v>1399.0300000000002</v>
      </c>
      <c r="M69" s="27"/>
      <c r="N69" s="1">
        <v>10</v>
      </c>
      <c r="O69" s="27">
        <f t="shared" si="2"/>
        <v>8807.2000000000007</v>
      </c>
      <c r="P69" s="27">
        <f>6874.29+1932.91</f>
        <v>8807.2000000000007</v>
      </c>
      <c r="Q69" s="27"/>
      <c r="R69" s="20"/>
    </row>
    <row r="70" spans="1:38" s="28" customFormat="1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12</v>
      </c>
      <c r="I70" s="2">
        <v>4</v>
      </c>
      <c r="J70" s="26">
        <v>4</v>
      </c>
      <c r="K70" s="27">
        <f t="shared" si="1"/>
        <v>3171.6</v>
      </c>
      <c r="L70" s="27">
        <v>3171.6</v>
      </c>
      <c r="M70" s="27"/>
      <c r="N70" s="2">
        <v>5</v>
      </c>
      <c r="O70" s="27">
        <f t="shared" si="2"/>
        <v>6756.51</v>
      </c>
      <c r="P70" s="27">
        <v>6756.51</v>
      </c>
      <c r="Q70" s="27"/>
      <c r="R70" s="31"/>
    </row>
    <row r="71" spans="1:3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29</v>
      </c>
      <c r="I71" s="2">
        <v>20</v>
      </c>
      <c r="J71" s="26">
        <v>20</v>
      </c>
      <c r="K71" s="27">
        <f t="shared" si="1"/>
        <v>4250.83</v>
      </c>
      <c r="L71" s="27">
        <f>3127.55+1123.28</f>
        <v>4250.83</v>
      </c>
      <c r="M71" s="27"/>
      <c r="N71" s="2"/>
      <c r="O71" s="27">
        <f t="shared" si="2"/>
        <v>0</v>
      </c>
      <c r="P71" s="27"/>
      <c r="Q71" s="27"/>
      <c r="R71" s="20"/>
    </row>
    <row r="72" spans="1:38" s="7" customFormat="1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37</v>
      </c>
      <c r="I72" s="1">
        <v>22</v>
      </c>
      <c r="J72" s="26">
        <v>23</v>
      </c>
      <c r="K72" s="27">
        <f t="shared" si="1"/>
        <v>12414.92</v>
      </c>
      <c r="L72" s="27">
        <v>12414.92</v>
      </c>
      <c r="M72" s="27"/>
      <c r="N72" s="1">
        <v>21</v>
      </c>
      <c r="O72" s="27">
        <f t="shared" si="2"/>
        <v>112152.42000000001</v>
      </c>
      <c r="P72" s="27">
        <f>109028.82+3123.6</f>
        <v>112152.42000000001</v>
      </c>
      <c r="Q72" s="27"/>
      <c r="R72" s="20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1:38" s="28" customFormat="1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f t="shared" si="1"/>
        <v>0</v>
      </c>
      <c r="L73" s="27"/>
      <c r="M73" s="27"/>
      <c r="N73" s="2"/>
      <c r="O73" s="27">
        <f t="shared" si="2"/>
        <v>0</v>
      </c>
      <c r="P73" s="27"/>
      <c r="Q73" s="27"/>
      <c r="R73" s="31"/>
    </row>
    <row r="74" spans="1:3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39</v>
      </c>
      <c r="I74" s="1">
        <v>23</v>
      </c>
      <c r="J74" s="26">
        <v>23</v>
      </c>
      <c r="K74" s="27">
        <f t="shared" si="1"/>
        <v>24129.81</v>
      </c>
      <c r="L74" s="27">
        <v>24129.81</v>
      </c>
      <c r="M74" s="27"/>
      <c r="N74" s="1">
        <v>8</v>
      </c>
      <c r="O74" s="27">
        <f t="shared" si="2"/>
        <v>31150.39</v>
      </c>
      <c r="P74" s="27">
        <v>31150.39</v>
      </c>
      <c r="Q74" s="27"/>
      <c r="R74" s="20"/>
    </row>
    <row r="75" spans="1:38" s="28" customFormat="1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491</v>
      </c>
      <c r="G75" s="23" t="s">
        <v>124</v>
      </c>
      <c r="H75" s="25">
        <v>1</v>
      </c>
      <c r="I75" s="1"/>
      <c r="J75" s="26"/>
      <c r="K75" s="27">
        <f t="shared" ref="K75:K138" si="3">L75+M75</f>
        <v>0</v>
      </c>
      <c r="L75" s="27"/>
      <c r="M75" s="27"/>
      <c r="N75" s="1">
        <v>1</v>
      </c>
      <c r="O75" s="27">
        <f t="shared" ref="O75:O138" si="4">P75+Q75</f>
        <v>2146.4</v>
      </c>
      <c r="P75" s="27">
        <v>2146.4</v>
      </c>
      <c r="Q75" s="27"/>
      <c r="R75" s="31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12</v>
      </c>
      <c r="I76" s="1">
        <v>2</v>
      </c>
      <c r="J76" s="26">
        <v>2</v>
      </c>
      <c r="K76" s="27">
        <f t="shared" si="3"/>
        <v>5072.1000000000004</v>
      </c>
      <c r="L76" s="27">
        <v>5072.1000000000004</v>
      </c>
      <c r="M76" s="27"/>
      <c r="N76" s="1">
        <v>9</v>
      </c>
      <c r="O76" s="27">
        <f t="shared" si="4"/>
        <v>42935.74</v>
      </c>
      <c r="P76" s="27">
        <v>42935.74</v>
      </c>
      <c r="Q76" s="27"/>
      <c r="R76" s="31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f t="shared" si="3"/>
        <v>0</v>
      </c>
      <c r="L77" s="27"/>
      <c r="M77" s="27"/>
      <c r="N77" s="1">
        <v>10</v>
      </c>
      <c r="O77" s="27">
        <f t="shared" si="4"/>
        <v>10370.91</v>
      </c>
      <c r="P77" s="27">
        <v>10370.91</v>
      </c>
      <c r="Q77" s="27"/>
      <c r="R77" s="31"/>
    </row>
    <row r="78" spans="1:3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20</v>
      </c>
      <c r="I78" s="1">
        <v>13</v>
      </c>
      <c r="J78" s="26">
        <v>13</v>
      </c>
      <c r="K78" s="27">
        <f t="shared" si="3"/>
        <v>9195</v>
      </c>
      <c r="L78" s="27">
        <f>4400.6+4794.4</f>
        <v>9195</v>
      </c>
      <c r="M78" s="27"/>
      <c r="N78" s="1">
        <v>17</v>
      </c>
      <c r="O78" s="27">
        <f t="shared" si="4"/>
        <v>67887.14</v>
      </c>
      <c r="P78" s="27">
        <v>67887.14</v>
      </c>
      <c r="Q78" s="27"/>
      <c r="R78" s="20"/>
    </row>
    <row r="79" spans="1:38" s="28" customFormat="1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22</v>
      </c>
      <c r="I79" s="2"/>
      <c r="J79" s="26"/>
      <c r="K79" s="27">
        <f t="shared" si="3"/>
        <v>6343.2</v>
      </c>
      <c r="L79" s="27">
        <v>6343.2</v>
      </c>
      <c r="M79" s="27"/>
      <c r="N79" s="2">
        <v>13</v>
      </c>
      <c r="O79" s="27">
        <f t="shared" si="4"/>
        <v>59901.36</v>
      </c>
      <c r="P79" s="27">
        <v>59901.36</v>
      </c>
      <c r="Q79" s="27"/>
      <c r="R79" s="31"/>
    </row>
    <row r="80" spans="1:38" s="17" customFormat="1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f t="shared" si="3"/>
        <v>0</v>
      </c>
      <c r="L80" s="27"/>
      <c r="M80" s="27"/>
      <c r="N80" s="2">
        <v>6</v>
      </c>
      <c r="O80" s="27">
        <f t="shared" si="4"/>
        <v>10043.4</v>
      </c>
      <c r="P80" s="27">
        <v>10043.4</v>
      </c>
      <c r="Q80" s="27"/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s="28" customFormat="1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11</v>
      </c>
      <c r="I81" s="1"/>
      <c r="J81" s="26"/>
      <c r="K81" s="27">
        <f t="shared" si="3"/>
        <v>0</v>
      </c>
      <c r="L81" s="27"/>
      <c r="M81" s="27"/>
      <c r="N81" s="1">
        <v>11</v>
      </c>
      <c r="O81" s="27">
        <f t="shared" si="4"/>
        <v>16465.599999999999</v>
      </c>
      <c r="P81" s="27">
        <v>16465.599999999999</v>
      </c>
      <c r="Q81" s="27"/>
      <c r="R81" s="31"/>
    </row>
    <row r="82" spans="1:3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19</v>
      </c>
      <c r="I82" s="1">
        <v>10</v>
      </c>
      <c r="J82" s="26">
        <v>10</v>
      </c>
      <c r="K82" s="27">
        <f t="shared" si="3"/>
        <v>0</v>
      </c>
      <c r="L82" s="27"/>
      <c r="M82" s="27"/>
      <c r="N82" s="1"/>
      <c r="O82" s="27">
        <f t="shared" si="4"/>
        <v>0</v>
      </c>
      <c r="P82" s="27"/>
      <c r="Q82" s="27"/>
      <c r="R82" s="20"/>
    </row>
    <row r="83" spans="1:38" s="28" customFormat="1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11</v>
      </c>
      <c r="I83" s="1"/>
      <c r="J83" s="26"/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31"/>
    </row>
    <row r="84" spans="1:38" s="17" customFormat="1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75</v>
      </c>
      <c r="I84" s="1">
        <v>42</v>
      </c>
      <c r="J84" s="26">
        <v>42</v>
      </c>
      <c r="K84" s="27">
        <f t="shared" si="3"/>
        <v>47012.42</v>
      </c>
      <c r="L84" s="27">
        <v>47012.42</v>
      </c>
      <c r="M84" s="27"/>
      <c r="N84" s="1">
        <v>3</v>
      </c>
      <c r="O84" s="27">
        <f t="shared" si="4"/>
        <v>12511.380000000001</v>
      </c>
      <c r="P84" s="27">
        <f>9777.93+2733.45</f>
        <v>12511.380000000001</v>
      </c>
      <c r="Q84" s="27"/>
      <c r="R84" s="20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:38" s="28" customFormat="1" ht="15" customHeight="1">
      <c r="A85" s="41">
        <v>42</v>
      </c>
      <c r="B85" s="37" t="s">
        <v>486</v>
      </c>
      <c r="C85" s="41" t="s">
        <v>18</v>
      </c>
      <c r="D85" s="37"/>
      <c r="E85" s="37" t="s">
        <v>488</v>
      </c>
      <c r="F85" s="37" t="s">
        <v>268</v>
      </c>
      <c r="G85" s="37" t="s">
        <v>131</v>
      </c>
      <c r="H85" s="42">
        <v>4</v>
      </c>
      <c r="I85" s="40"/>
      <c r="J85" s="43"/>
      <c r="K85" s="27">
        <f t="shared" si="3"/>
        <v>0</v>
      </c>
      <c r="L85" s="39"/>
      <c r="M85" s="39"/>
      <c r="N85" s="40"/>
      <c r="O85" s="27">
        <f t="shared" si="4"/>
        <v>0</v>
      </c>
      <c r="P85" s="39"/>
      <c r="Q85" s="39"/>
      <c r="R85" s="31"/>
    </row>
    <row r="86" spans="1:38" s="7" customFormat="1" ht="15" customHeight="1">
      <c r="A86" s="24">
        <v>43</v>
      </c>
      <c r="B86" s="23" t="s">
        <v>65</v>
      </c>
      <c r="C86" s="24" t="s">
        <v>18</v>
      </c>
      <c r="D86" s="23"/>
      <c r="E86" s="23" t="s">
        <v>66</v>
      </c>
      <c r="F86" s="23" t="s">
        <v>409</v>
      </c>
      <c r="G86" s="23" t="s">
        <v>142</v>
      </c>
      <c r="H86" s="25">
        <v>13</v>
      </c>
      <c r="I86" s="1">
        <v>4</v>
      </c>
      <c r="J86" s="26">
        <v>6</v>
      </c>
      <c r="K86" s="27">
        <f t="shared" si="3"/>
        <v>8041.41</v>
      </c>
      <c r="L86" s="27">
        <v>8041.41</v>
      </c>
      <c r="M86" s="27"/>
      <c r="N86" s="1">
        <v>14</v>
      </c>
      <c r="O86" s="27">
        <f t="shared" si="4"/>
        <v>10572.76</v>
      </c>
      <c r="P86" s="27">
        <v>10572.76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65</v>
      </c>
      <c r="C87" s="24" t="s">
        <v>18</v>
      </c>
      <c r="D87" s="23"/>
      <c r="E87" s="23" t="s">
        <v>66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4"/>
        <v>0</v>
      </c>
      <c r="P87" s="27"/>
      <c r="Q87" s="27"/>
      <c r="R87" s="31"/>
    </row>
    <row r="88" spans="1:38" s="7" customFormat="1" ht="15" customHeight="1">
      <c r="A88" s="24">
        <v>44</v>
      </c>
      <c r="B88" s="23" t="s">
        <v>67</v>
      </c>
      <c r="C88" s="24" t="s">
        <v>18</v>
      </c>
      <c r="D88" s="23"/>
      <c r="E88" s="23" t="s">
        <v>19</v>
      </c>
      <c r="F88" s="23" t="s">
        <v>410</v>
      </c>
      <c r="G88" s="23" t="s">
        <v>142</v>
      </c>
      <c r="H88" s="25">
        <v>39</v>
      </c>
      <c r="I88" s="1">
        <v>37</v>
      </c>
      <c r="J88" s="26">
        <v>38</v>
      </c>
      <c r="K88" s="27">
        <f t="shared" si="3"/>
        <v>34327.040000000001</v>
      </c>
      <c r="L88" s="27">
        <v>34327.040000000001</v>
      </c>
      <c r="M88" s="27"/>
      <c r="N88" s="1">
        <v>14</v>
      </c>
      <c r="O88" s="27">
        <f t="shared" si="4"/>
        <v>28719.49</v>
      </c>
      <c r="P88" s="27">
        <v>28719.49</v>
      </c>
      <c r="Q88" s="27"/>
      <c r="R88" s="20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 spans="1:38" s="28" customFormat="1" ht="15" customHeight="1">
      <c r="A89" s="24"/>
      <c r="B89" s="23" t="s">
        <v>67</v>
      </c>
      <c r="C89" s="24" t="s">
        <v>18</v>
      </c>
      <c r="D89" s="23"/>
      <c r="E89" s="23" t="s">
        <v>104</v>
      </c>
      <c r="F89" s="23" t="s">
        <v>123</v>
      </c>
      <c r="G89" s="23" t="s">
        <v>122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31"/>
    </row>
    <row r="90" spans="1:38" ht="15" customHeight="1">
      <c r="A90" s="24">
        <v>45</v>
      </c>
      <c r="B90" s="23" t="s">
        <v>68</v>
      </c>
      <c r="C90" s="24" t="s">
        <v>18</v>
      </c>
      <c r="D90" s="24"/>
      <c r="E90" s="23" t="s">
        <v>50</v>
      </c>
      <c r="F90" s="23" t="s">
        <v>411</v>
      </c>
      <c r="G90" s="23" t="s">
        <v>142</v>
      </c>
      <c r="H90" s="25">
        <v>10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s="28" customFormat="1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123</v>
      </c>
      <c r="G91" s="23" t="s">
        <v>136</v>
      </c>
      <c r="H91" s="25">
        <v>0</v>
      </c>
      <c r="I91" s="2"/>
      <c r="J91" s="26"/>
      <c r="K91" s="27">
        <f t="shared" si="3"/>
        <v>0</v>
      </c>
      <c r="L91" s="27"/>
      <c r="M91" s="27"/>
      <c r="N91" s="2"/>
      <c r="O91" s="27">
        <f t="shared" si="4"/>
        <v>0</v>
      </c>
      <c r="P91" s="27"/>
      <c r="Q91" s="27"/>
      <c r="R91" s="31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292</v>
      </c>
      <c r="G92" s="23" t="s">
        <v>124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31"/>
    </row>
    <row r="93" spans="1:38" ht="15" customHeight="1">
      <c r="A93" s="24">
        <v>46</v>
      </c>
      <c r="B93" s="23" t="s">
        <v>127</v>
      </c>
      <c r="C93" s="24" t="s">
        <v>18</v>
      </c>
      <c r="D93" s="23"/>
      <c r="E93" s="23" t="s">
        <v>41</v>
      </c>
      <c r="F93" s="23" t="s">
        <v>412</v>
      </c>
      <c r="G93" s="23" t="s">
        <v>142</v>
      </c>
      <c r="H93" s="25">
        <v>15</v>
      </c>
      <c r="I93" s="2">
        <v>9</v>
      </c>
      <c r="J93" s="26">
        <v>10</v>
      </c>
      <c r="K93" s="27">
        <f t="shared" si="3"/>
        <v>10325.33</v>
      </c>
      <c r="L93" s="27">
        <v>10325.33</v>
      </c>
      <c r="M93" s="27"/>
      <c r="N93" s="2">
        <v>7</v>
      </c>
      <c r="O93" s="27">
        <f t="shared" si="4"/>
        <v>10757.419999999998</v>
      </c>
      <c r="P93" s="27">
        <f>4981.94+158.58+5616.9</f>
        <v>10757.419999999998</v>
      </c>
      <c r="Q93" s="27"/>
      <c r="R93" s="20"/>
    </row>
    <row r="94" spans="1:38" s="28" customFormat="1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364</v>
      </c>
      <c r="G94" s="23" t="s">
        <v>136</v>
      </c>
      <c r="H94" s="25">
        <v>11</v>
      </c>
      <c r="I94" s="2">
        <v>5</v>
      </c>
      <c r="J94" s="26">
        <v>5</v>
      </c>
      <c r="K94" s="27">
        <f t="shared" si="3"/>
        <v>4581.2</v>
      </c>
      <c r="L94" s="27">
        <v>4581.2</v>
      </c>
      <c r="M94" s="27"/>
      <c r="N94" s="2">
        <v>20</v>
      </c>
      <c r="O94" s="27">
        <f t="shared" si="4"/>
        <v>25116.91</v>
      </c>
      <c r="P94" s="27">
        <v>25116.91</v>
      </c>
      <c r="Q94" s="27"/>
      <c r="R94" s="31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375</v>
      </c>
      <c r="G95" s="23" t="s">
        <v>124</v>
      </c>
      <c r="H95" s="25">
        <v>1</v>
      </c>
      <c r="I95" s="2">
        <v>1</v>
      </c>
      <c r="J95" s="26">
        <v>1</v>
      </c>
      <c r="K95" s="27">
        <f t="shared" si="3"/>
        <v>1288.7</v>
      </c>
      <c r="L95" s="27">
        <v>1288.7</v>
      </c>
      <c r="M95" s="27"/>
      <c r="N95" s="2">
        <v>3</v>
      </c>
      <c r="O95" s="27">
        <f t="shared" si="4"/>
        <v>616.70000000000005</v>
      </c>
      <c r="P95" s="27">
        <v>616.70000000000005</v>
      </c>
      <c r="Q95" s="27"/>
      <c r="R95" s="31"/>
    </row>
    <row r="96" spans="1:38" s="7" customFormat="1" ht="15" customHeight="1">
      <c r="A96" s="74">
        <v>47</v>
      </c>
      <c r="B96" s="77" t="s">
        <v>69</v>
      </c>
      <c r="C96" s="74" t="s">
        <v>18</v>
      </c>
      <c r="D96" s="77"/>
      <c r="E96" s="77" t="s">
        <v>19</v>
      </c>
      <c r="F96" s="77" t="s">
        <v>292</v>
      </c>
      <c r="G96" s="77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s="7" customFormat="1" ht="15.75" customHeight="1">
      <c r="A97" s="74">
        <v>48</v>
      </c>
      <c r="B97" s="77" t="s">
        <v>70</v>
      </c>
      <c r="C97" s="74" t="s">
        <v>18</v>
      </c>
      <c r="D97" s="77"/>
      <c r="E97" s="77" t="s">
        <v>19</v>
      </c>
      <c r="F97" s="77" t="s">
        <v>413</v>
      </c>
      <c r="G97" s="77" t="s">
        <v>142</v>
      </c>
      <c r="H97" s="25">
        <v>13</v>
      </c>
      <c r="I97" s="1">
        <v>10</v>
      </c>
      <c r="J97" s="26">
        <v>10</v>
      </c>
      <c r="K97" s="27">
        <f t="shared" si="3"/>
        <v>6764.75</v>
      </c>
      <c r="L97" s="27">
        <f>2262.4+4502.35</f>
        <v>6764.75</v>
      </c>
      <c r="M97" s="27"/>
      <c r="N97" s="1">
        <v>7</v>
      </c>
      <c r="O97" s="27">
        <f t="shared" si="4"/>
        <v>23489.77</v>
      </c>
      <c r="P97" s="27">
        <v>23489.77</v>
      </c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ht="15" customHeight="1">
      <c r="A98" s="74">
        <v>49</v>
      </c>
      <c r="B98" s="77" t="s">
        <v>71</v>
      </c>
      <c r="C98" s="74" t="s">
        <v>18</v>
      </c>
      <c r="D98" s="77"/>
      <c r="E98" s="77" t="s">
        <v>32</v>
      </c>
      <c r="F98" s="77" t="s">
        <v>292</v>
      </c>
      <c r="G98" s="77" t="s">
        <v>121</v>
      </c>
      <c r="H98" s="25">
        <v>0</v>
      </c>
      <c r="I98" s="1"/>
      <c r="J98" s="26"/>
      <c r="K98" s="27">
        <f t="shared" si="3"/>
        <v>0</v>
      </c>
      <c r="L98" s="27"/>
      <c r="M98" s="27"/>
      <c r="N98" s="1">
        <v>2</v>
      </c>
      <c r="O98" s="27">
        <f t="shared" si="4"/>
        <v>10878.949999999999</v>
      </c>
      <c r="P98" s="27">
        <v>10878.949999999999</v>
      </c>
      <c r="Q98" s="27"/>
      <c r="R98" s="20"/>
    </row>
    <row r="99" spans="1:38" s="28" customFormat="1" ht="15" customHeight="1">
      <c r="A99" s="24"/>
      <c r="B99" s="23" t="s">
        <v>71</v>
      </c>
      <c r="C99" s="24" t="s">
        <v>18</v>
      </c>
      <c r="D99" s="23"/>
      <c r="E99" s="23" t="s">
        <v>32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38" ht="15" customHeight="1">
      <c r="A100" s="24">
        <v>50</v>
      </c>
      <c r="B100" s="23" t="s">
        <v>72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28" customFormat="1" ht="15" customHeight="1">
      <c r="A101" s="24"/>
      <c r="B101" s="23" t="s">
        <v>72</v>
      </c>
      <c r="C101" s="24" t="s">
        <v>18</v>
      </c>
      <c r="D101" s="23"/>
      <c r="E101" s="23" t="s">
        <v>19</v>
      </c>
      <c r="F101" s="23" t="s">
        <v>292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38" ht="15" customHeight="1">
      <c r="A102" s="24">
        <v>51</v>
      </c>
      <c r="B102" s="23" t="s">
        <v>73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s="7" customFormat="1" ht="15" customHeight="1">
      <c r="A103" s="24">
        <v>52</v>
      </c>
      <c r="B103" s="23" t="s">
        <v>74</v>
      </c>
      <c r="C103" s="24" t="s">
        <v>18</v>
      </c>
      <c r="D103" s="23"/>
      <c r="E103" s="23" t="s">
        <v>19</v>
      </c>
      <c r="F103" s="23" t="s">
        <v>414</v>
      </c>
      <c r="G103" s="23" t="s">
        <v>142</v>
      </c>
      <c r="H103" s="25">
        <v>28</v>
      </c>
      <c r="I103" s="1">
        <v>19</v>
      </c>
      <c r="J103" s="26">
        <v>21</v>
      </c>
      <c r="K103" s="27">
        <f t="shared" si="3"/>
        <v>11380.77</v>
      </c>
      <c r="L103" s="27">
        <v>11380.77</v>
      </c>
      <c r="M103" s="27"/>
      <c r="N103" s="1">
        <v>10</v>
      </c>
      <c r="O103" s="27">
        <f t="shared" si="4"/>
        <v>34082.68</v>
      </c>
      <c r="P103" s="27">
        <v>34082.68</v>
      </c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>
        <v>53</v>
      </c>
      <c r="B104" s="23" t="s">
        <v>312</v>
      </c>
      <c r="C104" s="24" t="s">
        <v>18</v>
      </c>
      <c r="D104" s="23"/>
      <c r="E104" s="23" t="s">
        <v>19</v>
      </c>
      <c r="F104" s="23" t="s">
        <v>415</v>
      </c>
      <c r="G104" s="23" t="s">
        <v>142</v>
      </c>
      <c r="H104" s="25">
        <v>15</v>
      </c>
      <c r="I104" s="1">
        <v>10</v>
      </c>
      <c r="J104" s="26">
        <v>10</v>
      </c>
      <c r="K104" s="27">
        <f t="shared" si="3"/>
        <v>19305.63</v>
      </c>
      <c r="L104" s="27">
        <v>19305.63</v>
      </c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28" customFormat="1" ht="15" customHeight="1">
      <c r="A105" s="24"/>
      <c r="B105" s="23" t="s">
        <v>312</v>
      </c>
      <c r="C105" s="24" t="s">
        <v>18</v>
      </c>
      <c r="D105" s="23"/>
      <c r="E105" s="23" t="s">
        <v>304</v>
      </c>
      <c r="F105" s="23" t="s">
        <v>339</v>
      </c>
      <c r="G105" s="23" t="s">
        <v>131</v>
      </c>
      <c r="H105" s="25">
        <v>13</v>
      </c>
      <c r="I105" s="1">
        <v>3</v>
      </c>
      <c r="J105" s="26">
        <v>3</v>
      </c>
      <c r="K105" s="27">
        <f t="shared" si="3"/>
        <v>1057.2</v>
      </c>
      <c r="L105" s="27">
        <v>1057.2</v>
      </c>
      <c r="M105" s="27"/>
      <c r="N105" s="1"/>
      <c r="O105" s="27">
        <f t="shared" si="4"/>
        <v>0</v>
      </c>
      <c r="Q105" s="27"/>
      <c r="R105" s="31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41</v>
      </c>
      <c r="F106" s="23" t="s">
        <v>467</v>
      </c>
      <c r="G106" s="23" t="s">
        <v>136</v>
      </c>
      <c r="H106" s="25">
        <v>31</v>
      </c>
      <c r="I106" s="1">
        <v>1</v>
      </c>
      <c r="J106" s="26">
        <v>1</v>
      </c>
      <c r="K106" s="27">
        <f t="shared" si="3"/>
        <v>6006.9</v>
      </c>
      <c r="L106" s="27">
        <v>6006.9</v>
      </c>
      <c r="M106" s="27"/>
      <c r="N106" s="1"/>
      <c r="O106" s="27">
        <f t="shared" si="4"/>
        <v>0</v>
      </c>
      <c r="P106" s="27"/>
      <c r="Q106" s="27"/>
      <c r="R106" s="31"/>
    </row>
    <row r="107" spans="1:38" ht="15" customHeight="1">
      <c r="A107" s="24">
        <v>54</v>
      </c>
      <c r="B107" s="23" t="s">
        <v>75</v>
      </c>
      <c r="C107" s="24" t="s">
        <v>18</v>
      </c>
      <c r="D107" s="23"/>
      <c r="E107" s="23" t="s">
        <v>19</v>
      </c>
      <c r="F107" s="23" t="s">
        <v>416</v>
      </c>
      <c r="G107" s="23" t="s">
        <v>142</v>
      </c>
      <c r="H107" s="25">
        <v>18</v>
      </c>
      <c r="I107" s="1">
        <v>17</v>
      </c>
      <c r="J107" s="26">
        <v>20</v>
      </c>
      <c r="K107" s="27">
        <f t="shared" si="3"/>
        <v>10653.08</v>
      </c>
      <c r="L107" s="27">
        <v>10653.08</v>
      </c>
      <c r="M107" s="27"/>
      <c r="N107" s="1">
        <v>19</v>
      </c>
      <c r="O107" s="27">
        <f t="shared" si="4"/>
        <v>99634.14</v>
      </c>
      <c r="P107" s="27">
        <f>98217.49+1416.65</f>
        <v>99634.14</v>
      </c>
      <c r="Q107" s="27"/>
      <c r="R107" s="20"/>
    </row>
    <row r="108" spans="1:38" s="28" customFormat="1" ht="13.15" customHeight="1">
      <c r="A108" s="24"/>
      <c r="B108" s="23" t="s">
        <v>75</v>
      </c>
      <c r="C108" s="24" t="s">
        <v>18</v>
      </c>
      <c r="D108" s="23"/>
      <c r="E108" s="23" t="s">
        <v>76</v>
      </c>
      <c r="F108" s="23" t="s">
        <v>335</v>
      </c>
      <c r="G108" s="23" t="s">
        <v>131</v>
      </c>
      <c r="H108" s="25">
        <v>27</v>
      </c>
      <c r="I108" s="1">
        <v>5</v>
      </c>
      <c r="J108" s="26">
        <v>5</v>
      </c>
      <c r="K108" s="27">
        <f t="shared" si="3"/>
        <v>0</v>
      </c>
      <c r="L108" s="27"/>
      <c r="M108" s="27"/>
      <c r="N108" s="1">
        <v>18</v>
      </c>
      <c r="O108" s="27">
        <f t="shared" si="4"/>
        <v>25590.400000000001</v>
      </c>
      <c r="P108" s="27">
        <v>25590.400000000001</v>
      </c>
      <c r="Q108" s="27"/>
      <c r="R108" s="31"/>
    </row>
    <row r="109" spans="1:38" s="28" customFormat="1" ht="15" customHeight="1">
      <c r="A109" s="24"/>
      <c r="B109" s="23" t="s">
        <v>140</v>
      </c>
      <c r="C109" s="24" t="s">
        <v>18</v>
      </c>
      <c r="D109" s="23"/>
      <c r="E109" s="23" t="s">
        <v>76</v>
      </c>
      <c r="F109" s="23" t="s">
        <v>377</v>
      </c>
      <c r="G109" s="23" t="s">
        <v>136</v>
      </c>
      <c r="H109" s="25">
        <v>28</v>
      </c>
      <c r="I109" s="2">
        <v>12</v>
      </c>
      <c r="J109" s="26">
        <v>12</v>
      </c>
      <c r="K109" s="27">
        <f t="shared" si="3"/>
        <v>8864.92</v>
      </c>
      <c r="L109" s="27">
        <v>8864.92</v>
      </c>
      <c r="M109" s="27"/>
      <c r="N109" s="2">
        <v>29</v>
      </c>
      <c r="O109" s="27">
        <f t="shared" si="4"/>
        <v>78083.570000000007</v>
      </c>
      <c r="P109" s="35">
        <v>78083.570000000007</v>
      </c>
      <c r="Q109" s="27"/>
      <c r="R109" s="31"/>
    </row>
    <row r="110" spans="1:38" s="17" customFormat="1" ht="15" customHeight="1">
      <c r="A110" s="24">
        <v>55</v>
      </c>
      <c r="B110" s="23" t="s">
        <v>267</v>
      </c>
      <c r="C110" s="24" t="s">
        <v>18</v>
      </c>
      <c r="D110" s="23"/>
      <c r="E110" s="23" t="s">
        <v>19</v>
      </c>
      <c r="F110" s="23" t="s">
        <v>268</v>
      </c>
      <c r="G110" s="23" t="s">
        <v>142</v>
      </c>
      <c r="H110" s="25">
        <v>0</v>
      </c>
      <c r="I110" s="2"/>
      <c r="J110" s="26"/>
      <c r="K110" s="27">
        <f t="shared" si="3"/>
        <v>0</v>
      </c>
      <c r="L110" s="27"/>
      <c r="M110" s="27"/>
      <c r="N110" s="2"/>
      <c r="O110" s="27">
        <f t="shared" si="4"/>
        <v>0</v>
      </c>
      <c r="P110" s="27"/>
      <c r="Q110" s="27"/>
      <c r="R110" s="20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:38" s="28" customFormat="1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336</v>
      </c>
      <c r="G111" s="23" t="s">
        <v>131</v>
      </c>
      <c r="H111" s="25">
        <v>8</v>
      </c>
      <c r="I111" s="2">
        <v>1</v>
      </c>
      <c r="J111" s="26">
        <v>1</v>
      </c>
      <c r="K111" s="27">
        <f t="shared" si="3"/>
        <v>0</v>
      </c>
      <c r="L111" s="27"/>
      <c r="M111" s="27"/>
      <c r="N111" s="2">
        <v>5</v>
      </c>
      <c r="O111" s="27">
        <f t="shared" si="4"/>
        <v>2937.3</v>
      </c>
      <c r="P111" s="27">
        <v>2937.3</v>
      </c>
      <c r="Q111" s="27"/>
      <c r="R111" s="31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455</v>
      </c>
      <c r="G112" s="23" t="s">
        <v>122</v>
      </c>
      <c r="H112" s="25">
        <v>10</v>
      </c>
      <c r="I112" s="2">
        <v>2</v>
      </c>
      <c r="J112" s="26">
        <v>2</v>
      </c>
      <c r="K112" s="27">
        <f t="shared" si="3"/>
        <v>2290.6</v>
      </c>
      <c r="L112" s="27">
        <v>2290.6</v>
      </c>
      <c r="M112" s="27"/>
      <c r="N112" s="2">
        <v>4</v>
      </c>
      <c r="O112" s="27">
        <f t="shared" si="4"/>
        <v>8545.7000000000007</v>
      </c>
      <c r="P112" s="27">
        <v>8545.7000000000007</v>
      </c>
      <c r="Q112" s="27"/>
      <c r="R112" s="31"/>
    </row>
    <row r="113" spans="1:38" ht="15" customHeight="1">
      <c r="A113" s="24">
        <v>56</v>
      </c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417</v>
      </c>
      <c r="G113" s="23" t="s">
        <v>142</v>
      </c>
      <c r="H113" s="25">
        <v>28</v>
      </c>
      <c r="I113" s="2">
        <v>19</v>
      </c>
      <c r="J113" s="26">
        <v>20</v>
      </c>
      <c r="K113" s="27">
        <f t="shared" si="3"/>
        <v>8880.7200000000012</v>
      </c>
      <c r="L113" s="27">
        <f>4342.45+4538.27</f>
        <v>8880.7200000000012</v>
      </c>
      <c r="M113" s="27"/>
      <c r="N113" s="2"/>
      <c r="O113" s="27">
        <f t="shared" si="4"/>
        <v>0</v>
      </c>
      <c r="P113" s="27"/>
      <c r="Q113" s="27"/>
      <c r="R113" s="20"/>
    </row>
    <row r="114" spans="1:38" s="28" customFormat="1" ht="15" customHeight="1">
      <c r="A114" s="24"/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340</v>
      </c>
      <c r="G114" s="23" t="s">
        <v>131</v>
      </c>
      <c r="H114" s="25">
        <v>20</v>
      </c>
      <c r="I114" s="2">
        <v>3</v>
      </c>
      <c r="J114" s="26">
        <v>3</v>
      </c>
      <c r="K114" s="27">
        <f t="shared" si="3"/>
        <v>0</v>
      </c>
      <c r="L114" s="27"/>
      <c r="M114" s="27"/>
      <c r="N114" s="2"/>
      <c r="O114" s="27">
        <f t="shared" si="4"/>
        <v>0</v>
      </c>
      <c r="P114" s="27"/>
      <c r="Q114" s="27"/>
      <c r="R114" s="31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307</v>
      </c>
      <c r="E115" s="23" t="s">
        <v>19</v>
      </c>
      <c r="F115" s="23" t="s">
        <v>350</v>
      </c>
      <c r="G115" s="23" t="s">
        <v>122</v>
      </c>
      <c r="H115" s="25">
        <v>12</v>
      </c>
      <c r="I115" s="2">
        <v>3</v>
      </c>
      <c r="J115" s="26">
        <v>3</v>
      </c>
      <c r="K115" s="27">
        <f t="shared" si="3"/>
        <v>3106</v>
      </c>
      <c r="L115" s="27">
        <v>3106</v>
      </c>
      <c r="M115" s="27"/>
      <c r="N115" s="2"/>
      <c r="O115" s="27">
        <f t="shared" si="4"/>
        <v>0</v>
      </c>
      <c r="P115" s="27"/>
      <c r="Q115" s="27"/>
      <c r="R115" s="31"/>
    </row>
    <row r="116" spans="1:38" ht="30.75" customHeight="1">
      <c r="A116" s="24">
        <v>57</v>
      </c>
      <c r="B116" s="23" t="s">
        <v>78</v>
      </c>
      <c r="C116" s="24" t="s">
        <v>18</v>
      </c>
      <c r="D116" s="23" t="s">
        <v>276</v>
      </c>
      <c r="E116" s="23" t="s">
        <v>19</v>
      </c>
      <c r="F116" s="23" t="s">
        <v>418</v>
      </c>
      <c r="G116" s="23" t="s">
        <v>142</v>
      </c>
      <c r="H116" s="25">
        <v>30</v>
      </c>
      <c r="I116" s="1">
        <v>26</v>
      </c>
      <c r="J116" s="26">
        <v>27</v>
      </c>
      <c r="K116" s="27">
        <f t="shared" si="3"/>
        <v>26169.39</v>
      </c>
      <c r="L116" s="27">
        <v>26169.39</v>
      </c>
      <c r="M116" s="27"/>
      <c r="N116" s="1">
        <v>11</v>
      </c>
      <c r="O116" s="27">
        <f t="shared" si="4"/>
        <v>40874.75</v>
      </c>
      <c r="P116" s="27">
        <v>40874.75</v>
      </c>
      <c r="Q116" s="27"/>
      <c r="R116" s="20"/>
    </row>
    <row r="117" spans="1:38" s="28" customFormat="1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131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38" ht="15" customHeight="1">
      <c r="A119" s="24">
        <v>58</v>
      </c>
      <c r="B119" s="23" t="s">
        <v>79</v>
      </c>
      <c r="C119" s="24" t="s">
        <v>18</v>
      </c>
      <c r="D119" s="23"/>
      <c r="E119" s="23" t="s">
        <v>19</v>
      </c>
      <c r="F119" s="23"/>
      <c r="G119" s="23" t="s">
        <v>142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80</v>
      </c>
      <c r="C120" s="24" t="s">
        <v>18</v>
      </c>
      <c r="D120" s="23"/>
      <c r="E120" s="23" t="s">
        <v>19</v>
      </c>
      <c r="F120" s="23" t="s">
        <v>419</v>
      </c>
      <c r="G120" s="23" t="s">
        <v>142</v>
      </c>
      <c r="H120" s="25">
        <v>27</v>
      </c>
      <c r="I120" s="1">
        <v>21</v>
      </c>
      <c r="J120" s="26">
        <v>27</v>
      </c>
      <c r="K120" s="27">
        <f t="shared" si="3"/>
        <v>23252.01</v>
      </c>
      <c r="L120" s="27">
        <v>23252.01</v>
      </c>
      <c r="M120" s="27"/>
      <c r="N120" s="1">
        <v>12</v>
      </c>
      <c r="O120" s="27">
        <f t="shared" si="4"/>
        <v>41732.35</v>
      </c>
      <c r="P120" s="27">
        <f>40384.42+1347.93</f>
        <v>41732.35</v>
      </c>
      <c r="Q120" s="27"/>
      <c r="R120" s="20"/>
    </row>
    <row r="121" spans="1:38" s="28" customFormat="1" ht="15" customHeight="1">
      <c r="A121" s="24"/>
      <c r="B121" s="23" t="s">
        <v>80</v>
      </c>
      <c r="C121" s="24" t="s">
        <v>18</v>
      </c>
      <c r="D121" s="23"/>
      <c r="E121" s="23" t="s">
        <v>19</v>
      </c>
      <c r="F121" s="23" t="s">
        <v>120</v>
      </c>
      <c r="G121" s="23" t="s">
        <v>122</v>
      </c>
      <c r="H121" s="25">
        <v>0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38" s="7" customFormat="1" ht="15" customHeight="1">
      <c r="A122" s="24">
        <v>60</v>
      </c>
      <c r="B122" s="23" t="s">
        <v>372</v>
      </c>
      <c r="C122" s="24" t="s">
        <v>18</v>
      </c>
      <c r="D122" s="23"/>
      <c r="E122" s="23" t="s">
        <v>19</v>
      </c>
      <c r="F122" s="23" t="s">
        <v>420</v>
      </c>
      <c r="G122" s="23" t="s">
        <v>142</v>
      </c>
      <c r="H122" s="25">
        <v>25</v>
      </c>
      <c r="I122" s="1">
        <v>6</v>
      </c>
      <c r="J122" s="26">
        <v>8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28" customFormat="1" ht="15" customHeight="1">
      <c r="A123" s="24">
        <v>61</v>
      </c>
      <c r="B123" s="23" t="s">
        <v>313</v>
      </c>
      <c r="C123" s="24" t="s">
        <v>18</v>
      </c>
      <c r="D123" s="23"/>
      <c r="E123" s="23"/>
      <c r="F123" s="23" t="s">
        <v>342</v>
      </c>
      <c r="G123" s="23" t="s">
        <v>131</v>
      </c>
      <c r="H123" s="25">
        <v>1</v>
      </c>
      <c r="I123" s="1"/>
      <c r="J123" s="26"/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31"/>
    </row>
    <row r="124" spans="1:38" s="28" customFormat="1" ht="15" customHeight="1">
      <c r="A124" s="24"/>
      <c r="B124" s="23" t="s">
        <v>313</v>
      </c>
      <c r="C124" s="24" t="s">
        <v>18</v>
      </c>
      <c r="D124" s="23"/>
      <c r="E124" s="23" t="s">
        <v>41</v>
      </c>
      <c r="F124" s="23" t="s">
        <v>366</v>
      </c>
      <c r="G124" s="23" t="s">
        <v>136</v>
      </c>
      <c r="H124" s="25">
        <v>29</v>
      </c>
      <c r="I124" s="1">
        <v>6</v>
      </c>
      <c r="J124" s="26">
        <v>6</v>
      </c>
      <c r="K124" s="27">
        <f t="shared" si="3"/>
        <v>16481.849999999999</v>
      </c>
      <c r="L124" s="27">
        <v>16481.849999999999</v>
      </c>
      <c r="M124" s="27"/>
      <c r="N124" s="1"/>
      <c r="O124" s="27">
        <f t="shared" si="4"/>
        <v>0</v>
      </c>
      <c r="P124" s="27"/>
      <c r="Q124" s="27"/>
      <c r="R124" s="31"/>
    </row>
    <row r="125" spans="1:38" s="7" customFormat="1" ht="15" customHeight="1">
      <c r="A125" s="24">
        <v>62</v>
      </c>
      <c r="B125" s="23" t="s">
        <v>373</v>
      </c>
      <c r="C125" s="24" t="s">
        <v>52</v>
      </c>
      <c r="D125" s="23" t="s">
        <v>378</v>
      </c>
      <c r="E125" s="23" t="s">
        <v>104</v>
      </c>
      <c r="F125" s="23" t="s">
        <v>422</v>
      </c>
      <c r="G125" s="23" t="s">
        <v>142</v>
      </c>
      <c r="H125" s="25">
        <v>11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5" customHeight="1">
      <c r="A126" s="24">
        <v>63</v>
      </c>
      <c r="B126" s="23" t="s">
        <v>81</v>
      </c>
      <c r="C126" s="24" t="s">
        <v>18</v>
      </c>
      <c r="D126" s="23"/>
      <c r="E126" s="23" t="s">
        <v>19</v>
      </c>
      <c r="F126" s="23" t="s">
        <v>421</v>
      </c>
      <c r="G126" s="23" t="s">
        <v>142</v>
      </c>
      <c r="H126" s="25">
        <v>15</v>
      </c>
      <c r="I126" s="1">
        <v>6</v>
      </c>
      <c r="J126" s="26">
        <v>6</v>
      </c>
      <c r="K126" s="27">
        <f t="shared" si="3"/>
        <v>1899.08</v>
      </c>
      <c r="L126" s="27">
        <v>1899.08</v>
      </c>
      <c r="M126" s="27"/>
      <c r="N126" s="1">
        <v>5</v>
      </c>
      <c r="O126" s="27">
        <f t="shared" si="4"/>
        <v>23638.28</v>
      </c>
      <c r="P126" s="27">
        <v>23638.28</v>
      </c>
      <c r="Q126" s="27"/>
      <c r="R126" s="20"/>
    </row>
    <row r="127" spans="1:38" s="28" customFormat="1" ht="15" customHeight="1">
      <c r="A127" s="24"/>
      <c r="B127" s="23" t="s">
        <v>81</v>
      </c>
      <c r="C127" s="24" t="s">
        <v>18</v>
      </c>
      <c r="D127" s="23"/>
      <c r="E127" s="23" t="s">
        <v>19</v>
      </c>
      <c r="F127" s="23" t="s">
        <v>453</v>
      </c>
      <c r="G127" s="23" t="s">
        <v>122</v>
      </c>
      <c r="H127" s="25">
        <v>6</v>
      </c>
      <c r="I127" s="1"/>
      <c r="J127" s="26"/>
      <c r="K127" s="27">
        <f t="shared" si="3"/>
        <v>0</v>
      </c>
      <c r="L127" s="27"/>
      <c r="M127" s="27"/>
      <c r="N127" s="1">
        <v>1</v>
      </c>
      <c r="O127" s="27">
        <f t="shared" si="4"/>
        <v>1850.1</v>
      </c>
      <c r="P127" s="27">
        <v>1850.1</v>
      </c>
      <c r="Q127" s="27"/>
      <c r="R127" s="31"/>
    </row>
    <row r="128" spans="1:38" s="7" customFormat="1" ht="15" customHeight="1">
      <c r="A128" s="24">
        <v>64</v>
      </c>
      <c r="B128" s="23" t="s">
        <v>82</v>
      </c>
      <c r="C128" s="24" t="s">
        <v>18</v>
      </c>
      <c r="D128" s="23"/>
      <c r="E128" s="23" t="s">
        <v>19</v>
      </c>
      <c r="F128" s="23" t="s">
        <v>423</v>
      </c>
      <c r="G128" s="23" t="s">
        <v>142</v>
      </c>
      <c r="H128" s="25">
        <v>26</v>
      </c>
      <c r="I128" s="1">
        <v>21</v>
      </c>
      <c r="J128" s="26">
        <v>21</v>
      </c>
      <c r="K128" s="27">
        <f t="shared" si="3"/>
        <v>14700.02</v>
      </c>
      <c r="L128" s="27">
        <v>14700.02</v>
      </c>
      <c r="M128" s="27"/>
      <c r="N128" s="1">
        <v>10</v>
      </c>
      <c r="O128" s="27">
        <f t="shared" si="4"/>
        <v>48930.57</v>
      </c>
      <c r="P128" s="27">
        <f>46040.89+2290.6+599.08</f>
        <v>48930.57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s="28" customFormat="1" ht="15" customHeight="1">
      <c r="A129" s="24"/>
      <c r="B129" s="23" t="s">
        <v>82</v>
      </c>
      <c r="C129" s="24" t="s">
        <v>18</v>
      </c>
      <c r="D129" s="23"/>
      <c r="E129" s="23" t="s">
        <v>19</v>
      </c>
      <c r="F129" s="23" t="s">
        <v>481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>
        <v>3</v>
      </c>
      <c r="O129" s="27">
        <f t="shared" si="4"/>
        <v>528.6</v>
      </c>
      <c r="P129" s="27">
        <v>528.6</v>
      </c>
      <c r="Q129" s="27"/>
      <c r="R129" s="31"/>
    </row>
    <row r="130" spans="1:38" ht="14.45" customHeight="1">
      <c r="A130" s="24">
        <v>65</v>
      </c>
      <c r="B130" s="23" t="s">
        <v>83</v>
      </c>
      <c r="C130" s="24" t="s">
        <v>30</v>
      </c>
      <c r="D130" s="23" t="s">
        <v>184</v>
      </c>
      <c r="E130" s="23" t="s">
        <v>19</v>
      </c>
      <c r="F130" s="23" t="s">
        <v>424</v>
      </c>
      <c r="G130" s="23" t="s">
        <v>142</v>
      </c>
      <c r="H130" s="25">
        <v>53</v>
      </c>
      <c r="I130" s="1">
        <v>46</v>
      </c>
      <c r="J130" s="26">
        <v>47</v>
      </c>
      <c r="K130" s="27">
        <f t="shared" si="3"/>
        <v>39337.339999999997</v>
      </c>
      <c r="L130" s="27">
        <v>39337.339999999997</v>
      </c>
      <c r="M130" s="27"/>
      <c r="N130" s="1">
        <v>14</v>
      </c>
      <c r="O130" s="27">
        <f t="shared" si="4"/>
        <v>29718.65</v>
      </c>
      <c r="P130" s="27">
        <f>28101.13+1617.52</f>
        <v>29718.65</v>
      </c>
      <c r="Q130" s="27"/>
      <c r="R130" s="20"/>
    </row>
    <row r="131" spans="1:38" s="28" customFormat="1" ht="14.45" customHeight="1">
      <c r="A131" s="24">
        <v>66</v>
      </c>
      <c r="B131" s="23" t="s">
        <v>303</v>
      </c>
      <c r="C131" s="24" t="s">
        <v>18</v>
      </c>
      <c r="D131" s="23"/>
      <c r="E131" s="23" t="s">
        <v>304</v>
      </c>
      <c r="F131" s="23" t="s">
        <v>473</v>
      </c>
      <c r="G131" s="23" t="s">
        <v>131</v>
      </c>
      <c r="H131" s="25">
        <v>13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38" s="7" customFormat="1" ht="15" customHeight="1">
      <c r="A132" s="24">
        <v>67</v>
      </c>
      <c r="B132" s="23" t="s">
        <v>84</v>
      </c>
      <c r="C132" s="24" t="s">
        <v>18</v>
      </c>
      <c r="D132" s="23"/>
      <c r="E132" s="23" t="s">
        <v>19</v>
      </c>
      <c r="F132" s="23" t="s">
        <v>425</v>
      </c>
      <c r="G132" s="23" t="s">
        <v>142</v>
      </c>
      <c r="H132" s="25">
        <v>24</v>
      </c>
      <c r="I132" s="1">
        <v>20</v>
      </c>
      <c r="J132" s="26">
        <v>23</v>
      </c>
      <c r="K132" s="27">
        <f t="shared" si="3"/>
        <v>20234.59</v>
      </c>
      <c r="L132" s="27">
        <f>15295.92+4938.67</f>
        <v>20234.59</v>
      </c>
      <c r="M132" s="27"/>
      <c r="N132" s="1">
        <v>14</v>
      </c>
      <c r="O132" s="27">
        <f t="shared" si="4"/>
        <v>19788.560000000001</v>
      </c>
      <c r="P132" s="27">
        <v>19788.560000000001</v>
      </c>
      <c r="Q132" s="27"/>
      <c r="R132" s="20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 spans="1:38" s="28" customFormat="1" ht="15" customHeight="1">
      <c r="A133" s="24"/>
      <c r="B133" s="23" t="s">
        <v>84</v>
      </c>
      <c r="C133" s="24" t="s">
        <v>18</v>
      </c>
      <c r="D133" s="23"/>
      <c r="E133" s="23" t="s">
        <v>19</v>
      </c>
      <c r="F133" s="37" t="s">
        <v>468</v>
      </c>
      <c r="G133" s="23" t="s">
        <v>122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>
        <v>2</v>
      </c>
      <c r="O133" s="27">
        <f t="shared" si="4"/>
        <v>0</v>
      </c>
      <c r="P133" s="27"/>
      <c r="Q133" s="27"/>
      <c r="R133" s="31"/>
    </row>
    <row r="134" spans="1:38" ht="15" customHeight="1">
      <c r="A134" s="24">
        <v>68</v>
      </c>
      <c r="B134" s="23" t="s">
        <v>85</v>
      </c>
      <c r="C134" s="24" t="s">
        <v>18</v>
      </c>
      <c r="D134" s="23"/>
      <c r="E134" s="23" t="s">
        <v>77</v>
      </c>
      <c r="F134" s="23" t="s">
        <v>426</v>
      </c>
      <c r="G134" s="23" t="s">
        <v>142</v>
      </c>
      <c r="H134" s="25">
        <v>26</v>
      </c>
      <c r="I134" s="1">
        <v>18</v>
      </c>
      <c r="J134" s="26">
        <v>22</v>
      </c>
      <c r="K134" s="27">
        <f t="shared" si="3"/>
        <v>7290.74</v>
      </c>
      <c r="L134" s="27">
        <v>7290.74</v>
      </c>
      <c r="M134" s="27"/>
      <c r="N134" s="1">
        <v>22</v>
      </c>
      <c r="O134" s="27">
        <f t="shared" si="4"/>
        <v>35519.81</v>
      </c>
      <c r="P134" s="27">
        <v>35519.81</v>
      </c>
      <c r="Q134" s="27"/>
      <c r="R134" s="20"/>
    </row>
    <row r="135" spans="1:38" s="28" customFormat="1" ht="15" customHeight="1">
      <c r="A135" s="24"/>
      <c r="B135" s="23" t="s">
        <v>85</v>
      </c>
      <c r="C135" s="24" t="s">
        <v>18</v>
      </c>
      <c r="D135" s="23"/>
      <c r="E135" s="23" t="s">
        <v>301</v>
      </c>
      <c r="F135" s="23" t="s">
        <v>337</v>
      </c>
      <c r="G135" s="23" t="s">
        <v>131</v>
      </c>
      <c r="H135" s="25">
        <v>44</v>
      </c>
      <c r="I135" s="1">
        <v>15</v>
      </c>
      <c r="J135" s="26">
        <v>15</v>
      </c>
      <c r="K135" s="27">
        <f t="shared" si="3"/>
        <v>2466.8000000000002</v>
      </c>
      <c r="L135" s="27">
        <v>2466.8000000000002</v>
      </c>
      <c r="M135" s="27"/>
      <c r="N135" s="1">
        <v>19</v>
      </c>
      <c r="O135" s="27">
        <f t="shared" si="4"/>
        <v>5330.06</v>
      </c>
      <c r="P135" s="27">
        <v>5330.06</v>
      </c>
      <c r="Q135" s="27"/>
      <c r="R135" s="31"/>
    </row>
    <row r="136" spans="1:38" ht="15" customHeight="1">
      <c r="A136" s="24">
        <v>69</v>
      </c>
      <c r="B136" s="23" t="s">
        <v>86</v>
      </c>
      <c r="C136" s="24" t="s">
        <v>18</v>
      </c>
      <c r="D136" s="23"/>
      <c r="E136" s="23" t="s">
        <v>77</v>
      </c>
      <c r="F136" s="23" t="s">
        <v>427</v>
      </c>
      <c r="G136" s="23" t="s">
        <v>142</v>
      </c>
      <c r="H136" s="25">
        <v>26</v>
      </c>
      <c r="I136" s="1">
        <v>14</v>
      </c>
      <c r="J136" s="26">
        <v>15</v>
      </c>
      <c r="K136" s="27">
        <f t="shared" si="3"/>
        <v>14801.52</v>
      </c>
      <c r="L136" s="27">
        <v>14801.52</v>
      </c>
      <c r="M136" s="27"/>
      <c r="N136" s="1">
        <v>14</v>
      </c>
      <c r="O136" s="27">
        <f t="shared" si="4"/>
        <v>44051.35</v>
      </c>
      <c r="P136" s="27">
        <v>44051.35</v>
      </c>
      <c r="Q136" s="27"/>
      <c r="R136" s="20"/>
    </row>
    <row r="137" spans="1:38" s="28" customFormat="1" ht="15" customHeight="1">
      <c r="A137" s="24"/>
      <c r="B137" s="23" t="s">
        <v>86</v>
      </c>
      <c r="C137" s="24" t="s">
        <v>18</v>
      </c>
      <c r="D137" s="23"/>
      <c r="E137" s="23" t="s">
        <v>301</v>
      </c>
      <c r="F137" s="23" t="s">
        <v>338</v>
      </c>
      <c r="G137" s="23" t="s">
        <v>131</v>
      </c>
      <c r="H137" s="25">
        <v>8</v>
      </c>
      <c r="I137" s="1">
        <v>2</v>
      </c>
      <c r="J137" s="26">
        <v>2</v>
      </c>
      <c r="K137" s="27">
        <f t="shared" si="3"/>
        <v>0</v>
      </c>
      <c r="L137" s="27"/>
      <c r="M137" s="27"/>
      <c r="N137" s="1">
        <v>4</v>
      </c>
      <c r="O137" s="27">
        <f t="shared" si="4"/>
        <v>5030.51</v>
      </c>
      <c r="P137" s="27">
        <v>5030.51</v>
      </c>
      <c r="Q137" s="27"/>
      <c r="R137" s="31"/>
    </row>
    <row r="138" spans="1:38" ht="28.9" customHeight="1">
      <c r="A138" s="29">
        <v>70</v>
      </c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292</v>
      </c>
      <c r="G138" s="30" t="s">
        <v>142</v>
      </c>
      <c r="H138" s="25">
        <v>0</v>
      </c>
      <c r="I138" s="1"/>
      <c r="J138" s="26"/>
      <c r="K138" s="27">
        <f t="shared" si="3"/>
        <v>0</v>
      </c>
      <c r="L138" s="27"/>
      <c r="M138" s="27"/>
      <c r="N138" s="1">
        <v>1</v>
      </c>
      <c r="O138" s="27">
        <f t="shared" si="4"/>
        <v>2730.25</v>
      </c>
      <c r="P138" s="27">
        <f>1564.44+1165.81</f>
        <v>2730.25</v>
      </c>
      <c r="Q138" s="27"/>
      <c r="R138" s="20"/>
    </row>
    <row r="139" spans="1:38" s="28" customFormat="1" ht="29.25" customHeight="1">
      <c r="A139" s="29"/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376</v>
      </c>
      <c r="G139" s="30" t="s">
        <v>122</v>
      </c>
      <c r="H139" s="25">
        <v>27</v>
      </c>
      <c r="I139" s="1">
        <v>8</v>
      </c>
      <c r="J139" s="44">
        <v>8</v>
      </c>
      <c r="K139" s="27">
        <f t="shared" ref="K139:K202" si="5">L139+M139</f>
        <v>9959.6</v>
      </c>
      <c r="L139" s="27">
        <v>9959.6</v>
      </c>
      <c r="M139" s="27"/>
      <c r="N139" s="1">
        <v>5</v>
      </c>
      <c r="O139" s="27">
        <f t="shared" ref="O139:O202" si="6">P139+Q139</f>
        <v>8968.58</v>
      </c>
      <c r="P139" s="27">
        <v>8968.58</v>
      </c>
      <c r="Q139" s="27"/>
      <c r="R139" s="31"/>
    </row>
    <row r="140" spans="1:38" ht="26.25" customHeight="1">
      <c r="A140" s="24">
        <v>71</v>
      </c>
      <c r="B140" s="23" t="s">
        <v>89</v>
      </c>
      <c r="C140" s="24" t="s">
        <v>18</v>
      </c>
      <c r="D140" s="23"/>
      <c r="E140" s="23" t="s">
        <v>19</v>
      </c>
      <c r="F140" s="23" t="s">
        <v>428</v>
      </c>
      <c r="G140" s="23" t="s">
        <v>142</v>
      </c>
      <c r="H140" s="25">
        <v>24</v>
      </c>
      <c r="I140" s="1">
        <v>14</v>
      </c>
      <c r="J140" s="26">
        <v>14</v>
      </c>
      <c r="K140" s="27">
        <f t="shared" si="5"/>
        <v>8817.93</v>
      </c>
      <c r="L140" s="27">
        <v>8817.93</v>
      </c>
      <c r="M140" s="27"/>
      <c r="N140" s="1">
        <v>9</v>
      </c>
      <c r="O140" s="27">
        <f t="shared" si="6"/>
        <v>26412.81</v>
      </c>
      <c r="P140" s="27">
        <v>26412.81</v>
      </c>
      <c r="Q140" s="27"/>
      <c r="R140" s="20"/>
    </row>
    <row r="141" spans="1:38" s="28" customFormat="1" ht="15" customHeight="1">
      <c r="A141" s="24"/>
      <c r="B141" s="23" t="s">
        <v>89</v>
      </c>
      <c r="C141" s="24" t="s">
        <v>18</v>
      </c>
      <c r="D141" s="23"/>
      <c r="E141" s="23" t="s">
        <v>19</v>
      </c>
      <c r="F141" s="23" t="s">
        <v>454</v>
      </c>
      <c r="G141" s="23" t="s">
        <v>122</v>
      </c>
      <c r="H141" s="25">
        <v>17</v>
      </c>
      <c r="I141" s="1">
        <v>1</v>
      </c>
      <c r="J141" s="26">
        <v>1</v>
      </c>
      <c r="K141" s="27">
        <f t="shared" si="5"/>
        <v>0</v>
      </c>
      <c r="L141" s="27"/>
      <c r="M141" s="27"/>
      <c r="N141" s="1">
        <v>8</v>
      </c>
      <c r="O141" s="27">
        <f t="shared" si="6"/>
        <v>13215</v>
      </c>
      <c r="P141" s="36">
        <v>13215</v>
      </c>
      <c r="Q141" s="27"/>
      <c r="R141" s="31"/>
    </row>
    <row r="142" spans="1:38" ht="15" customHeight="1">
      <c r="A142" s="24">
        <v>72</v>
      </c>
      <c r="B142" s="23" t="s">
        <v>90</v>
      </c>
      <c r="C142" s="24" t="s">
        <v>18</v>
      </c>
      <c r="D142" s="23"/>
      <c r="E142" s="23" t="s">
        <v>19</v>
      </c>
      <c r="F142" s="23" t="s">
        <v>429</v>
      </c>
      <c r="G142" s="23" t="s">
        <v>142</v>
      </c>
      <c r="H142" s="25">
        <v>14</v>
      </c>
      <c r="I142" s="1">
        <v>13</v>
      </c>
      <c r="J142" s="26">
        <v>13</v>
      </c>
      <c r="K142" s="27">
        <f t="shared" si="5"/>
        <v>5319.65</v>
      </c>
      <c r="L142" s="27">
        <f>2471.02+2848.63</f>
        <v>5319.65</v>
      </c>
      <c r="M142" s="27"/>
      <c r="N142" s="1">
        <v>5</v>
      </c>
      <c r="O142" s="27">
        <f t="shared" si="6"/>
        <v>10093.58</v>
      </c>
      <c r="P142" s="27">
        <v>10093.58</v>
      </c>
      <c r="Q142" s="27"/>
      <c r="R142" s="20"/>
    </row>
    <row r="143" spans="1:38" s="7" customFormat="1" ht="15" customHeight="1">
      <c r="A143" s="24">
        <v>73</v>
      </c>
      <c r="B143" s="23" t="s">
        <v>91</v>
      </c>
      <c r="C143" s="24" t="s">
        <v>18</v>
      </c>
      <c r="D143" s="23"/>
      <c r="E143" s="23" t="s">
        <v>92</v>
      </c>
      <c r="F143" s="23" t="s">
        <v>470</v>
      </c>
      <c r="G143" s="23" t="s">
        <v>142</v>
      </c>
      <c r="H143" s="25">
        <v>19</v>
      </c>
      <c r="I143" s="1">
        <v>16</v>
      </c>
      <c r="J143" s="26">
        <v>26</v>
      </c>
      <c r="K143" s="27">
        <f t="shared" si="5"/>
        <v>872.19</v>
      </c>
      <c r="L143" s="27">
        <v>872.19</v>
      </c>
      <c r="M143" s="27"/>
      <c r="N143" s="1">
        <v>23</v>
      </c>
      <c r="O143" s="27">
        <f t="shared" si="6"/>
        <v>39982.019999999997</v>
      </c>
      <c r="P143" s="27">
        <f>35132.88+3580.5+1268.64</f>
        <v>39982.019999999997</v>
      </c>
      <c r="Q143" s="27"/>
      <c r="R143" s="20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 spans="1:38" s="28" customFormat="1" ht="15" customHeight="1">
      <c r="A144" s="24"/>
      <c r="B144" s="23" t="s">
        <v>91</v>
      </c>
      <c r="C144" s="24" t="s">
        <v>18</v>
      </c>
      <c r="D144" s="23"/>
      <c r="E144" s="23" t="s">
        <v>92</v>
      </c>
      <c r="F144" s="23" t="s">
        <v>479</v>
      </c>
      <c r="G144" s="23" t="s">
        <v>136</v>
      </c>
      <c r="H144" s="25">
        <v>3</v>
      </c>
      <c r="I144" s="2"/>
      <c r="J144" s="26"/>
      <c r="K144" s="27">
        <f t="shared" si="5"/>
        <v>0</v>
      </c>
      <c r="L144" s="27"/>
      <c r="M144" s="27"/>
      <c r="N144" s="2">
        <v>6</v>
      </c>
      <c r="O144" s="27">
        <f t="shared" si="6"/>
        <v>1145.3</v>
      </c>
      <c r="P144" s="27">
        <v>1145.3</v>
      </c>
      <c r="Q144" s="27"/>
      <c r="R144" s="31"/>
    </row>
    <row r="145" spans="1:18" ht="15" customHeight="1">
      <c r="A145" s="24">
        <v>74</v>
      </c>
      <c r="B145" s="23" t="s">
        <v>93</v>
      </c>
      <c r="C145" s="24" t="s">
        <v>18</v>
      </c>
      <c r="D145" s="23"/>
      <c r="E145" s="23" t="s">
        <v>19</v>
      </c>
      <c r="F145" s="23" t="s">
        <v>123</v>
      </c>
      <c r="G145" s="23" t="s">
        <v>142</v>
      </c>
      <c r="H145" s="25">
        <v>0</v>
      </c>
      <c r="I145" s="2"/>
      <c r="J145" s="26"/>
      <c r="K145" s="27">
        <f t="shared" si="5"/>
        <v>0</v>
      </c>
      <c r="L145" s="27"/>
      <c r="M145" s="27"/>
      <c r="N145" s="2">
        <v>1</v>
      </c>
      <c r="O145" s="27">
        <f t="shared" si="6"/>
        <v>4017.3599999999997</v>
      </c>
      <c r="P145" s="27">
        <v>4017.3599999999997</v>
      </c>
      <c r="Q145" s="27"/>
      <c r="R145" s="20"/>
    </row>
    <row r="146" spans="1:18" s="28" customFormat="1" ht="15" customHeight="1">
      <c r="A146" s="24"/>
      <c r="B146" s="23" t="s">
        <v>93</v>
      </c>
      <c r="C146" s="24" t="s">
        <v>18</v>
      </c>
      <c r="D146" s="23"/>
      <c r="E146" s="23" t="s">
        <v>19</v>
      </c>
      <c r="F146" s="23" t="s">
        <v>120</v>
      </c>
      <c r="G146" s="23" t="s">
        <v>131</v>
      </c>
      <c r="H146" s="25">
        <v>0</v>
      </c>
      <c r="I146" s="1"/>
      <c r="J146" s="26"/>
      <c r="K146" s="27">
        <f t="shared" si="5"/>
        <v>0</v>
      </c>
      <c r="L146" s="27"/>
      <c r="M146" s="27"/>
      <c r="N146" s="1">
        <v>1</v>
      </c>
      <c r="O146" s="27">
        <f t="shared" si="6"/>
        <v>1797.24</v>
      </c>
      <c r="P146" s="27">
        <v>1797.24</v>
      </c>
      <c r="Q146" s="27"/>
      <c r="R146" s="31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/>
      <c r="F147" s="23" t="s">
        <v>261</v>
      </c>
      <c r="G147" s="23" t="s">
        <v>122</v>
      </c>
      <c r="H147" s="25">
        <v>10</v>
      </c>
      <c r="I147" s="1">
        <v>3</v>
      </c>
      <c r="J147" s="26">
        <v>3</v>
      </c>
      <c r="K147" s="27">
        <f t="shared" si="5"/>
        <v>0</v>
      </c>
      <c r="L147" s="27"/>
      <c r="M147" s="27"/>
      <c r="N147" s="1">
        <v>3</v>
      </c>
      <c r="O147" s="27">
        <f t="shared" si="6"/>
        <v>6255.1</v>
      </c>
      <c r="P147" s="27">
        <v>6255.1</v>
      </c>
      <c r="Q147" s="27"/>
      <c r="R147" s="31"/>
    </row>
    <row r="148" spans="1:18" ht="15" customHeight="1">
      <c r="A148" s="24">
        <v>75</v>
      </c>
      <c r="B148" s="23" t="s">
        <v>281</v>
      </c>
      <c r="C148" s="24" t="s">
        <v>18</v>
      </c>
      <c r="D148" s="23"/>
      <c r="E148" s="23" t="s">
        <v>19</v>
      </c>
      <c r="F148" s="23" t="s">
        <v>430</v>
      </c>
      <c r="G148" s="23" t="s">
        <v>142</v>
      </c>
      <c r="H148" s="25">
        <v>16</v>
      </c>
      <c r="I148" s="1">
        <v>6</v>
      </c>
      <c r="J148" s="26">
        <v>7</v>
      </c>
      <c r="K148" s="27">
        <f t="shared" si="5"/>
        <v>6670.26</v>
      </c>
      <c r="L148" s="27">
        <f>2702.63+3967.63</f>
        <v>6670.26</v>
      </c>
      <c r="M148" s="27"/>
      <c r="N148" s="1">
        <v>2</v>
      </c>
      <c r="O148" s="27">
        <f t="shared" si="6"/>
        <v>2640.13</v>
      </c>
      <c r="P148" s="27">
        <v>2640.13</v>
      </c>
      <c r="Q148" s="27"/>
      <c r="R148" s="20"/>
    </row>
    <row r="149" spans="1:18" s="28" customFormat="1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285</v>
      </c>
      <c r="G149" s="23" t="s">
        <v>131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>
        <v>1</v>
      </c>
      <c r="O149" s="27">
        <f t="shared" si="6"/>
        <v>0</v>
      </c>
      <c r="P149" s="27"/>
      <c r="Q149" s="27"/>
      <c r="R149" s="31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349</v>
      </c>
      <c r="G150" s="23" t="s">
        <v>122</v>
      </c>
      <c r="H150" s="25">
        <v>22</v>
      </c>
      <c r="I150" s="1">
        <v>5</v>
      </c>
      <c r="J150" s="26">
        <v>5</v>
      </c>
      <c r="K150" s="27">
        <f t="shared" si="5"/>
        <v>12186.16</v>
      </c>
      <c r="L150" s="27">
        <v>12186.16</v>
      </c>
      <c r="M150" s="27"/>
      <c r="N150" s="1">
        <v>6</v>
      </c>
      <c r="O150" s="27">
        <f t="shared" si="6"/>
        <v>13416.69</v>
      </c>
      <c r="P150" s="27">
        <v>13416.69</v>
      </c>
      <c r="Q150" s="27"/>
      <c r="R150" s="31"/>
    </row>
    <row r="151" spans="1:18" ht="15" customHeight="1">
      <c r="A151" s="24">
        <v>76</v>
      </c>
      <c r="B151" s="23" t="s">
        <v>94</v>
      </c>
      <c r="C151" s="24" t="s">
        <v>18</v>
      </c>
      <c r="D151" s="23"/>
      <c r="E151" s="23" t="s">
        <v>95</v>
      </c>
      <c r="F151" s="23" t="s">
        <v>431</v>
      </c>
      <c r="G151" s="23" t="s">
        <v>142</v>
      </c>
      <c r="H151" s="25">
        <v>39</v>
      </c>
      <c r="I151" s="1">
        <v>23</v>
      </c>
      <c r="J151" s="26">
        <v>34</v>
      </c>
      <c r="K151" s="27">
        <f t="shared" si="5"/>
        <v>39751.32</v>
      </c>
      <c r="L151" s="27">
        <v>39751.32</v>
      </c>
      <c r="M151" s="27"/>
      <c r="N151" s="1">
        <v>9</v>
      </c>
      <c r="O151" s="27">
        <f t="shared" si="6"/>
        <v>13489.94</v>
      </c>
      <c r="P151" s="27">
        <v>13489.94</v>
      </c>
      <c r="Q151" s="27"/>
      <c r="R151" s="20"/>
    </row>
    <row r="152" spans="1:18" s="28" customFormat="1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319</v>
      </c>
      <c r="G152" s="23" t="s">
        <v>124</v>
      </c>
      <c r="H152" s="25">
        <v>15</v>
      </c>
      <c r="I152" s="1">
        <v>2</v>
      </c>
      <c r="J152" s="26">
        <v>2</v>
      </c>
      <c r="K152" s="27">
        <f t="shared" si="5"/>
        <v>6519.4</v>
      </c>
      <c r="L152" s="27">
        <v>6519.4</v>
      </c>
      <c r="M152" s="27"/>
      <c r="N152" s="1">
        <v>2</v>
      </c>
      <c r="O152" s="27">
        <f t="shared" si="6"/>
        <v>3942.68</v>
      </c>
      <c r="P152" s="27">
        <v>3942.68</v>
      </c>
      <c r="Q152" s="27"/>
      <c r="R152" s="31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123</v>
      </c>
      <c r="G153" s="23" t="s">
        <v>131</v>
      </c>
      <c r="H153" s="25">
        <v>0</v>
      </c>
      <c r="I153" s="2"/>
      <c r="J153" s="26"/>
      <c r="K153" s="27">
        <f t="shared" si="5"/>
        <v>0</v>
      </c>
      <c r="L153" s="27"/>
      <c r="M153" s="27"/>
      <c r="N153" s="2"/>
      <c r="O153" s="27">
        <f t="shared" si="6"/>
        <v>0</v>
      </c>
      <c r="P153" s="27"/>
      <c r="Q153" s="27"/>
      <c r="R153" s="31"/>
    </row>
    <row r="154" spans="1:18" ht="15" customHeight="1">
      <c r="A154" s="24">
        <v>77</v>
      </c>
      <c r="B154" s="23" t="s">
        <v>96</v>
      </c>
      <c r="C154" s="24" t="s">
        <v>18</v>
      </c>
      <c r="D154" s="23"/>
      <c r="E154" s="23" t="s">
        <v>19</v>
      </c>
      <c r="F154" s="23" t="s">
        <v>432</v>
      </c>
      <c r="G154" s="23" t="s">
        <v>142</v>
      </c>
      <c r="H154" s="25">
        <v>6</v>
      </c>
      <c r="I154" s="1">
        <v>2</v>
      </c>
      <c r="J154" s="26">
        <v>2</v>
      </c>
      <c r="K154" s="27">
        <f t="shared" si="5"/>
        <v>7188.96</v>
      </c>
      <c r="L154" s="27">
        <v>7188.96</v>
      </c>
      <c r="M154" s="27"/>
      <c r="N154" s="1">
        <v>4</v>
      </c>
      <c r="O154" s="27">
        <f t="shared" si="6"/>
        <v>7739.93</v>
      </c>
      <c r="P154" s="27">
        <v>7739.93</v>
      </c>
      <c r="Q154" s="27"/>
      <c r="R154" s="20"/>
    </row>
    <row r="155" spans="1:18" s="28" customFormat="1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292</v>
      </c>
      <c r="G155" s="23" t="s">
        <v>131</v>
      </c>
      <c r="H155" s="25">
        <v>0</v>
      </c>
      <c r="I155" s="1"/>
      <c r="J155" s="26"/>
      <c r="K155" s="27">
        <f t="shared" si="5"/>
        <v>0</v>
      </c>
      <c r="L155" s="27"/>
      <c r="M155" s="27"/>
      <c r="N155" s="1">
        <v>2</v>
      </c>
      <c r="O155" s="27">
        <f t="shared" si="6"/>
        <v>6695.6</v>
      </c>
      <c r="P155" s="27">
        <v>6695.6</v>
      </c>
      <c r="Q155" s="27"/>
      <c r="R155" s="31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447</v>
      </c>
      <c r="G156" s="23" t="s">
        <v>122</v>
      </c>
      <c r="H156" s="25">
        <v>20</v>
      </c>
      <c r="I156" s="1">
        <v>6</v>
      </c>
      <c r="J156" s="26">
        <v>6</v>
      </c>
      <c r="K156" s="27">
        <f t="shared" si="5"/>
        <v>5286</v>
      </c>
      <c r="L156" s="27">
        <v>5286</v>
      </c>
      <c r="M156" s="27"/>
      <c r="N156" s="1">
        <v>6</v>
      </c>
      <c r="O156" s="27">
        <f t="shared" si="6"/>
        <v>12686.4</v>
      </c>
      <c r="P156" s="27">
        <v>12686.4</v>
      </c>
      <c r="Q156" s="27"/>
      <c r="R156" s="31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2" t="s">
        <v>19</v>
      </c>
      <c r="F157" s="23" t="s">
        <v>367</v>
      </c>
      <c r="G157" s="22" t="s">
        <v>136</v>
      </c>
      <c r="H157" s="45">
        <v>9</v>
      </c>
      <c r="I157" s="1">
        <v>1</v>
      </c>
      <c r="J157" s="26">
        <v>1</v>
      </c>
      <c r="K157" s="27">
        <f t="shared" si="5"/>
        <v>4757.3999999999996</v>
      </c>
      <c r="L157" s="27">
        <v>4757.3999999999996</v>
      </c>
      <c r="M157" s="27"/>
      <c r="N157" s="1">
        <v>2</v>
      </c>
      <c r="O157" s="27">
        <f t="shared" si="6"/>
        <v>0</v>
      </c>
      <c r="P157" s="27"/>
      <c r="Q157" s="27"/>
      <c r="R157" s="31"/>
    </row>
    <row r="158" spans="1:18" ht="15" customHeight="1">
      <c r="A158" s="24">
        <v>78</v>
      </c>
      <c r="B158" s="23" t="s">
        <v>97</v>
      </c>
      <c r="C158" s="24" t="s">
        <v>18</v>
      </c>
      <c r="D158" s="23"/>
      <c r="E158" s="23" t="s">
        <v>19</v>
      </c>
      <c r="F158" s="23" t="s">
        <v>462</v>
      </c>
      <c r="G158" s="23" t="s">
        <v>142</v>
      </c>
      <c r="H158" s="25">
        <v>6</v>
      </c>
      <c r="I158" s="1"/>
      <c r="J158" s="26"/>
      <c r="K158" s="27">
        <f t="shared" si="5"/>
        <v>0</v>
      </c>
      <c r="L158" s="27"/>
      <c r="M158" s="27"/>
      <c r="N158" s="1">
        <v>3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98</v>
      </c>
      <c r="C159" s="24" t="s">
        <v>18</v>
      </c>
      <c r="D159" s="23"/>
      <c r="E159" s="23" t="s">
        <v>19</v>
      </c>
      <c r="F159" s="23" t="s">
        <v>433</v>
      </c>
      <c r="G159" s="23" t="s">
        <v>142</v>
      </c>
      <c r="H159" s="25">
        <v>22</v>
      </c>
      <c r="I159" s="1">
        <v>17</v>
      </c>
      <c r="J159" s="26">
        <v>18</v>
      </c>
      <c r="K159" s="27">
        <f t="shared" si="5"/>
        <v>14455.97</v>
      </c>
      <c r="L159" s="27">
        <v>14455.97</v>
      </c>
      <c r="M159" s="27"/>
      <c r="N159" s="1">
        <v>9</v>
      </c>
      <c r="O159" s="27">
        <f t="shared" si="6"/>
        <v>35129.230000000003</v>
      </c>
      <c r="P159" s="27">
        <v>35129.230000000003</v>
      </c>
      <c r="Q159" s="27"/>
      <c r="R159" s="20"/>
    </row>
    <row r="160" spans="1:18" ht="15" customHeight="1">
      <c r="A160" s="24">
        <v>80</v>
      </c>
      <c r="B160" s="23" t="s">
        <v>99</v>
      </c>
      <c r="C160" s="24" t="s">
        <v>18</v>
      </c>
      <c r="D160" s="23"/>
      <c r="E160" s="23" t="s">
        <v>19</v>
      </c>
      <c r="F160" s="23" t="s">
        <v>120</v>
      </c>
      <c r="G160" s="23" t="s">
        <v>142</v>
      </c>
      <c r="H160" s="25">
        <v>0</v>
      </c>
      <c r="I160" s="1"/>
      <c r="J160" s="26"/>
      <c r="K160" s="27">
        <f t="shared" si="5"/>
        <v>0</v>
      </c>
      <c r="L160" s="27"/>
      <c r="M160" s="27"/>
      <c r="N160" s="1">
        <v>2</v>
      </c>
      <c r="O160" s="27">
        <f t="shared" si="6"/>
        <v>1923.17</v>
      </c>
      <c r="P160" s="27">
        <v>1923.17</v>
      </c>
      <c r="Q160" s="27"/>
      <c r="R160" s="20"/>
    </row>
    <row r="161" spans="1:18" ht="24.6" customHeight="1">
      <c r="A161" s="29">
        <v>81</v>
      </c>
      <c r="B161" s="30" t="s">
        <v>100</v>
      </c>
      <c r="C161" s="29" t="s">
        <v>30</v>
      </c>
      <c r="D161" s="30" t="s">
        <v>101</v>
      </c>
      <c r="E161" s="30" t="s">
        <v>19</v>
      </c>
      <c r="F161" s="23" t="s">
        <v>434</v>
      </c>
      <c r="G161" s="30" t="s">
        <v>142</v>
      </c>
      <c r="H161" s="25">
        <v>12</v>
      </c>
      <c r="I161" s="1"/>
      <c r="J161" s="26"/>
      <c r="K161" s="27">
        <f t="shared" si="5"/>
        <v>0</v>
      </c>
      <c r="L161" s="27"/>
      <c r="M161" s="27"/>
      <c r="N161" s="1"/>
      <c r="O161" s="27">
        <f t="shared" si="6"/>
        <v>0</v>
      </c>
      <c r="P161" s="27"/>
      <c r="Q161" s="27"/>
      <c r="R161" s="20"/>
    </row>
    <row r="162" spans="1:18" s="28" customFormat="1" ht="29.25" customHeight="1">
      <c r="A162" s="29"/>
      <c r="B162" s="30" t="s">
        <v>100</v>
      </c>
      <c r="C162" s="29" t="s">
        <v>30</v>
      </c>
      <c r="D162" s="30" t="s">
        <v>101</v>
      </c>
      <c r="E162" s="30" t="s">
        <v>19</v>
      </c>
      <c r="F162" s="30" t="s">
        <v>292</v>
      </c>
      <c r="G162" s="30" t="s">
        <v>122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31"/>
    </row>
    <row r="163" spans="1:18" ht="26.25" customHeight="1">
      <c r="A163" s="46">
        <v>82</v>
      </c>
      <c r="B163" s="60" t="s">
        <v>144</v>
      </c>
      <c r="C163" s="46" t="s">
        <v>18</v>
      </c>
      <c r="D163" s="60"/>
      <c r="E163" s="60" t="s">
        <v>104</v>
      </c>
      <c r="F163" s="60" t="s">
        <v>120</v>
      </c>
      <c r="G163" s="60" t="s">
        <v>142</v>
      </c>
      <c r="H163" s="61">
        <v>0</v>
      </c>
      <c r="I163" s="1"/>
      <c r="J163" s="26"/>
      <c r="K163" s="27">
        <f t="shared" si="5"/>
        <v>0</v>
      </c>
      <c r="L163" s="63"/>
      <c r="M163" s="63"/>
      <c r="N163" s="1"/>
      <c r="O163" s="27">
        <f t="shared" si="6"/>
        <v>0</v>
      </c>
      <c r="P163" s="63"/>
      <c r="Q163" s="63"/>
      <c r="R163" s="20"/>
    </row>
    <row r="164" spans="1:18" ht="15.75" customHeight="1">
      <c r="A164" s="24">
        <v>83</v>
      </c>
      <c r="B164" s="23" t="s">
        <v>102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18" ht="15" customHeight="1">
      <c r="A165" s="24">
        <v>84</v>
      </c>
      <c r="B165" s="23" t="s">
        <v>103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>
        <v>1</v>
      </c>
      <c r="O165" s="27">
        <f t="shared" si="6"/>
        <v>12670.26</v>
      </c>
      <c r="P165" s="27">
        <v>12670.26</v>
      </c>
      <c r="Q165" s="27"/>
      <c r="R165" s="20"/>
    </row>
    <row r="166" spans="1:18" s="28" customFormat="1" ht="15" customHeight="1">
      <c r="A166" s="24"/>
      <c r="B166" s="23" t="s">
        <v>103</v>
      </c>
      <c r="C166" s="24" t="s">
        <v>18</v>
      </c>
      <c r="D166" s="23"/>
      <c r="E166" s="23" t="s">
        <v>19</v>
      </c>
      <c r="F166" s="23" t="s">
        <v>456</v>
      </c>
      <c r="G166" s="23" t="s">
        <v>122</v>
      </c>
      <c r="H166" s="25">
        <v>9</v>
      </c>
      <c r="I166" s="1"/>
      <c r="J166" s="26"/>
      <c r="K166" s="27">
        <f t="shared" si="5"/>
        <v>0</v>
      </c>
      <c r="L166" s="27"/>
      <c r="M166" s="27"/>
      <c r="N166" s="1"/>
      <c r="O166" s="27">
        <f t="shared" si="6"/>
        <v>2731.1</v>
      </c>
      <c r="P166" s="27">
        <v>2731.1</v>
      </c>
      <c r="Q166" s="27"/>
      <c r="R166" s="31"/>
    </row>
    <row r="167" spans="1:18" ht="15" customHeight="1">
      <c r="A167" s="41">
        <v>85</v>
      </c>
      <c r="B167" s="37" t="s">
        <v>302</v>
      </c>
      <c r="C167" s="41" t="s">
        <v>18</v>
      </c>
      <c r="D167" s="37"/>
      <c r="E167" s="37" t="s">
        <v>104</v>
      </c>
      <c r="F167" s="37" t="s">
        <v>461</v>
      </c>
      <c r="G167" s="37" t="s">
        <v>142</v>
      </c>
      <c r="H167" s="42">
        <v>17</v>
      </c>
      <c r="I167" s="40">
        <v>3</v>
      </c>
      <c r="J167" s="43">
        <v>3</v>
      </c>
      <c r="K167" s="27">
        <f t="shared" si="5"/>
        <v>0</v>
      </c>
      <c r="L167" s="39"/>
      <c r="M167" s="39"/>
      <c r="N167" s="40"/>
      <c r="O167" s="27">
        <f t="shared" si="6"/>
        <v>0</v>
      </c>
      <c r="P167" s="39"/>
      <c r="Q167" s="39"/>
      <c r="R167" s="20"/>
    </row>
    <row r="168" spans="1:18" s="28" customFormat="1" ht="15" customHeight="1">
      <c r="A168" s="24"/>
      <c r="B168" s="23" t="s">
        <v>302</v>
      </c>
      <c r="C168" s="24" t="s">
        <v>18</v>
      </c>
      <c r="D168" s="23"/>
      <c r="E168" s="23" t="s">
        <v>19</v>
      </c>
      <c r="F168" s="23" t="s">
        <v>348</v>
      </c>
      <c r="G168" s="23" t="s">
        <v>122</v>
      </c>
      <c r="H168" s="25">
        <v>20</v>
      </c>
      <c r="I168" s="1">
        <v>3</v>
      </c>
      <c r="J168" s="26">
        <v>3</v>
      </c>
      <c r="K168" s="27">
        <f t="shared" si="5"/>
        <v>7752.8</v>
      </c>
      <c r="L168" s="27">
        <v>7752.8</v>
      </c>
      <c r="M168" s="27"/>
      <c r="N168" s="1"/>
      <c r="O168" s="27">
        <f t="shared" si="6"/>
        <v>0</v>
      </c>
      <c r="P168" s="27"/>
      <c r="Q168" s="27"/>
      <c r="R168" s="31"/>
    </row>
    <row r="169" spans="1:18" s="28" customFormat="1" ht="15" customHeight="1">
      <c r="A169" s="24">
        <v>86</v>
      </c>
      <c r="B169" s="23" t="s">
        <v>328</v>
      </c>
      <c r="C169" s="24" t="s">
        <v>18</v>
      </c>
      <c r="D169" s="23"/>
      <c r="E169" s="23" t="s">
        <v>19</v>
      </c>
      <c r="F169" s="23" t="s">
        <v>347</v>
      </c>
      <c r="G169" s="23" t="s">
        <v>122</v>
      </c>
      <c r="H169" s="25">
        <v>12</v>
      </c>
      <c r="I169" s="1">
        <v>1</v>
      </c>
      <c r="J169" s="26">
        <v>1</v>
      </c>
      <c r="K169" s="27">
        <f t="shared" si="5"/>
        <v>1585.8</v>
      </c>
      <c r="L169" s="27">
        <v>1585.8</v>
      </c>
      <c r="M169" s="27"/>
      <c r="N169" s="1"/>
      <c r="O169" s="27">
        <f t="shared" si="6"/>
        <v>0</v>
      </c>
      <c r="P169" s="27"/>
      <c r="Q169" s="27"/>
      <c r="R169" s="31"/>
    </row>
    <row r="170" spans="1:18" ht="15" customHeight="1">
      <c r="A170" s="24">
        <v>87</v>
      </c>
      <c r="B170" s="23" t="s">
        <v>314</v>
      </c>
      <c r="C170" s="24" t="s">
        <v>18</v>
      </c>
      <c r="D170" s="23"/>
      <c r="E170" s="23" t="s">
        <v>460</v>
      </c>
      <c r="F170" s="23" t="s">
        <v>435</v>
      </c>
      <c r="G170" s="23" t="s">
        <v>142</v>
      </c>
      <c r="H170" s="25">
        <v>4</v>
      </c>
      <c r="I170" s="1">
        <v>1</v>
      </c>
      <c r="J170" s="26">
        <v>1</v>
      </c>
      <c r="K170" s="27">
        <f t="shared" si="5"/>
        <v>0</v>
      </c>
      <c r="L170" s="27"/>
      <c r="M170" s="27"/>
      <c r="N170" s="1"/>
      <c r="O170" s="27">
        <f t="shared" si="6"/>
        <v>0</v>
      </c>
      <c r="P170" s="27"/>
      <c r="Q170" s="27"/>
      <c r="R170" s="20"/>
    </row>
    <row r="171" spans="1:18" s="28" customFormat="1" ht="15" customHeight="1">
      <c r="A171" s="41"/>
      <c r="B171" s="37" t="s">
        <v>314</v>
      </c>
      <c r="C171" s="41" t="s">
        <v>18</v>
      </c>
      <c r="D171" s="37"/>
      <c r="E171" s="37" t="s">
        <v>460</v>
      </c>
      <c r="F171" s="37" t="s">
        <v>474</v>
      </c>
      <c r="G171" s="37" t="s">
        <v>131</v>
      </c>
      <c r="H171" s="42">
        <v>2</v>
      </c>
      <c r="I171" s="40"/>
      <c r="J171" s="43"/>
      <c r="K171" s="27">
        <f t="shared" si="5"/>
        <v>0</v>
      </c>
      <c r="L171" s="39"/>
      <c r="M171" s="39"/>
      <c r="N171" s="40"/>
      <c r="O171" s="27">
        <f t="shared" si="6"/>
        <v>0</v>
      </c>
      <c r="P171" s="39"/>
      <c r="Q171" s="39"/>
      <c r="R171" s="31"/>
    </row>
    <row r="172" spans="1:18" s="28" customFormat="1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465</v>
      </c>
      <c r="G172" s="23" t="s">
        <v>136</v>
      </c>
      <c r="H172" s="25">
        <v>30</v>
      </c>
      <c r="I172" s="1">
        <v>1</v>
      </c>
      <c r="J172" s="26">
        <v>1</v>
      </c>
      <c r="K172" s="27">
        <f t="shared" si="5"/>
        <v>1938.2</v>
      </c>
      <c r="L172" s="27">
        <v>1938.2</v>
      </c>
      <c r="M172" s="27"/>
      <c r="N172" s="1"/>
      <c r="O172" s="27">
        <f t="shared" si="6"/>
        <v>0</v>
      </c>
      <c r="P172" s="27"/>
      <c r="Q172" s="27"/>
      <c r="R172" s="31"/>
    </row>
    <row r="173" spans="1:18" s="28" customFormat="1" ht="15" customHeight="1">
      <c r="A173" s="24">
        <v>88</v>
      </c>
      <c r="B173" s="23" t="s">
        <v>330</v>
      </c>
      <c r="C173" s="24" t="s">
        <v>18</v>
      </c>
      <c r="D173" s="23"/>
      <c r="E173" s="23" t="s">
        <v>104</v>
      </c>
      <c r="F173" s="23" t="s">
        <v>341</v>
      </c>
      <c r="G173" s="23" t="s">
        <v>131</v>
      </c>
      <c r="H173" s="25">
        <v>11</v>
      </c>
      <c r="I173" s="1">
        <v>8</v>
      </c>
      <c r="J173" s="26">
        <v>8</v>
      </c>
      <c r="K173" s="27">
        <f t="shared" si="5"/>
        <v>17377.599999999999</v>
      </c>
      <c r="L173" s="27">
        <v>17377.599999999999</v>
      </c>
      <c r="M173" s="27"/>
      <c r="N173" s="1"/>
      <c r="O173" s="27">
        <f t="shared" si="6"/>
        <v>0</v>
      </c>
      <c r="P173" s="27"/>
      <c r="Q173" s="27"/>
      <c r="R173" s="31"/>
    </row>
    <row r="174" spans="1:18" s="28" customFormat="1" ht="15" customHeight="1">
      <c r="A174" s="24"/>
      <c r="B174" s="23" t="s">
        <v>330</v>
      </c>
      <c r="C174" s="24" t="s">
        <v>18</v>
      </c>
      <c r="D174" s="23"/>
      <c r="E174" s="23" t="s">
        <v>19</v>
      </c>
      <c r="F174" s="23" t="s">
        <v>346</v>
      </c>
      <c r="G174" s="23" t="s">
        <v>122</v>
      </c>
      <c r="H174" s="25">
        <v>11</v>
      </c>
      <c r="I174" s="1">
        <v>3</v>
      </c>
      <c r="J174" s="26">
        <v>3</v>
      </c>
      <c r="K174" s="27">
        <f t="shared" si="5"/>
        <v>4757.3999999999996</v>
      </c>
      <c r="L174" s="27">
        <v>4757.3999999999996</v>
      </c>
      <c r="M174" s="27"/>
      <c r="N174" s="1"/>
      <c r="O174" s="27">
        <f t="shared" si="6"/>
        <v>0</v>
      </c>
      <c r="P174" s="27"/>
      <c r="Q174" s="27"/>
      <c r="R174" s="31"/>
    </row>
    <row r="175" spans="1:18" ht="24.75" customHeight="1">
      <c r="A175" s="29">
        <v>89</v>
      </c>
      <c r="B175" s="30" t="s">
        <v>105</v>
      </c>
      <c r="C175" s="29" t="s">
        <v>30</v>
      </c>
      <c r="D175" s="30" t="s">
        <v>106</v>
      </c>
      <c r="E175" s="30" t="s">
        <v>19</v>
      </c>
      <c r="F175" s="30" t="s">
        <v>436</v>
      </c>
      <c r="G175" s="30" t="s">
        <v>142</v>
      </c>
      <c r="H175" s="25">
        <v>15</v>
      </c>
      <c r="I175" s="1"/>
      <c r="J175" s="26"/>
      <c r="K175" s="27">
        <f t="shared" si="5"/>
        <v>0</v>
      </c>
      <c r="L175" s="27"/>
      <c r="M175" s="27"/>
      <c r="N175" s="1"/>
      <c r="O175" s="27">
        <f t="shared" si="6"/>
        <v>23296.730000000003</v>
      </c>
      <c r="P175" s="27">
        <v>23296.730000000003</v>
      </c>
      <c r="Q175" s="27"/>
      <c r="R175" s="20"/>
    </row>
    <row r="176" spans="1:18" ht="24.75" customHeight="1">
      <c r="A176" s="29">
        <v>90</v>
      </c>
      <c r="B176" s="30" t="s">
        <v>315</v>
      </c>
      <c r="C176" s="29" t="s">
        <v>18</v>
      </c>
      <c r="D176" s="30"/>
      <c r="E176" s="30" t="s">
        <v>19</v>
      </c>
      <c r="F176" s="30" t="s">
        <v>437</v>
      </c>
      <c r="G176" s="30" t="s">
        <v>142</v>
      </c>
      <c r="H176" s="25">
        <v>12</v>
      </c>
      <c r="I176" s="1">
        <v>7</v>
      </c>
      <c r="J176" s="26">
        <v>8</v>
      </c>
      <c r="K176" s="27">
        <f t="shared" si="5"/>
        <v>0</v>
      </c>
      <c r="L176" s="27"/>
      <c r="M176" s="27"/>
      <c r="N176" s="1"/>
      <c r="O176" s="27">
        <f t="shared" si="6"/>
        <v>0</v>
      </c>
      <c r="P176" s="27"/>
      <c r="Q176" s="27"/>
      <c r="R176" s="20"/>
    </row>
    <row r="177" spans="1:38" s="28" customFormat="1" ht="24.75" customHeight="1">
      <c r="A177" s="29"/>
      <c r="B177" s="30" t="s">
        <v>315</v>
      </c>
      <c r="C177" s="29" t="s">
        <v>18</v>
      </c>
      <c r="D177" s="30"/>
      <c r="E177" s="30" t="s">
        <v>322</v>
      </c>
      <c r="F177" s="30" t="s">
        <v>323</v>
      </c>
      <c r="G177" s="30" t="s">
        <v>124</v>
      </c>
      <c r="H177" s="25">
        <v>7</v>
      </c>
      <c r="I177" s="1"/>
      <c r="J177" s="26"/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31"/>
    </row>
    <row r="178" spans="1:38" s="7" customFormat="1" ht="38.450000000000003" customHeight="1">
      <c r="A178" s="29">
        <v>91</v>
      </c>
      <c r="B178" s="30" t="s">
        <v>265</v>
      </c>
      <c r="C178" s="29" t="s">
        <v>18</v>
      </c>
      <c r="D178" s="30"/>
      <c r="E178" s="30" t="s">
        <v>19</v>
      </c>
      <c r="F178" s="30" t="s">
        <v>123</v>
      </c>
      <c r="G178" s="30" t="s">
        <v>142</v>
      </c>
      <c r="H178" s="25">
        <v>0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s="7" customFormat="1" ht="38.450000000000003" customHeight="1">
      <c r="A179" s="24">
        <v>92</v>
      </c>
      <c r="B179" s="23" t="s">
        <v>107</v>
      </c>
      <c r="C179" s="24" t="s">
        <v>18</v>
      </c>
      <c r="D179" s="23"/>
      <c r="E179" s="23" t="s">
        <v>41</v>
      </c>
      <c r="F179" s="30" t="s">
        <v>438</v>
      </c>
      <c r="G179" s="23" t="s">
        <v>142</v>
      </c>
      <c r="H179" s="25">
        <v>2</v>
      </c>
      <c r="I179" s="1">
        <v>1</v>
      </c>
      <c r="J179" s="44">
        <v>1</v>
      </c>
      <c r="K179" s="27">
        <f t="shared" si="5"/>
        <v>0</v>
      </c>
      <c r="L179" s="27"/>
      <c r="M179" s="27"/>
      <c r="N179" s="1">
        <v>6</v>
      </c>
      <c r="O179" s="27">
        <f t="shared" si="6"/>
        <v>9570.130000000001</v>
      </c>
      <c r="P179" s="27">
        <f>1221.57+1977.23+6371.33</f>
        <v>9570.130000000001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28" customFormat="1" ht="15.75" customHeight="1">
      <c r="A180" s="24"/>
      <c r="B180" s="23" t="s">
        <v>107</v>
      </c>
      <c r="C180" s="24" t="s">
        <v>18</v>
      </c>
      <c r="D180" s="23"/>
      <c r="E180" s="23" t="s">
        <v>41</v>
      </c>
      <c r="F180" s="23" t="s">
        <v>464</v>
      </c>
      <c r="G180" s="23" t="s">
        <v>136</v>
      </c>
      <c r="H180" s="25">
        <v>13</v>
      </c>
      <c r="I180" s="2">
        <v>7</v>
      </c>
      <c r="J180" s="26">
        <v>7</v>
      </c>
      <c r="K180" s="27">
        <f t="shared" si="5"/>
        <v>16959.580000000002</v>
      </c>
      <c r="L180" s="27">
        <v>16959.580000000002</v>
      </c>
      <c r="M180" s="27"/>
      <c r="N180" s="2">
        <v>19</v>
      </c>
      <c r="O180" s="27">
        <f t="shared" si="6"/>
        <v>29601.599999999999</v>
      </c>
      <c r="P180" s="27">
        <v>29601.599999999999</v>
      </c>
      <c r="Q180" s="27"/>
      <c r="R180" s="31"/>
    </row>
    <row r="181" spans="1:38" ht="16.5" customHeight="1">
      <c r="A181" s="24">
        <v>93</v>
      </c>
      <c r="B181" s="23" t="s">
        <v>108</v>
      </c>
      <c r="C181" s="24" t="s">
        <v>18</v>
      </c>
      <c r="D181" s="23"/>
      <c r="E181" s="23" t="s">
        <v>19</v>
      </c>
      <c r="F181" s="23" t="s">
        <v>439</v>
      </c>
      <c r="G181" s="23" t="s">
        <v>142</v>
      </c>
      <c r="H181" s="25">
        <v>47</v>
      </c>
      <c r="I181" s="1">
        <v>41</v>
      </c>
      <c r="J181" s="26">
        <v>41</v>
      </c>
      <c r="K181" s="27">
        <f t="shared" si="5"/>
        <v>18249.71</v>
      </c>
      <c r="L181" s="27">
        <v>18249.71</v>
      </c>
      <c r="M181" s="27"/>
      <c r="N181" s="1">
        <v>7</v>
      </c>
      <c r="O181" s="27">
        <f t="shared" si="6"/>
        <v>106471.7</v>
      </c>
      <c r="P181" s="27">
        <v>106471.7</v>
      </c>
      <c r="Q181" s="27"/>
      <c r="R181" s="20"/>
    </row>
    <row r="182" spans="1:38" s="28" customFormat="1" ht="16.5" customHeight="1">
      <c r="A182" s="24"/>
      <c r="B182" s="23" t="s">
        <v>108</v>
      </c>
      <c r="C182" s="24" t="s">
        <v>18</v>
      </c>
      <c r="D182" s="23"/>
      <c r="E182" s="23" t="s">
        <v>19</v>
      </c>
      <c r="F182" s="23" t="s">
        <v>345</v>
      </c>
      <c r="G182" s="23" t="s">
        <v>122</v>
      </c>
      <c r="H182" s="25">
        <v>17</v>
      </c>
      <c r="I182" s="1">
        <v>6</v>
      </c>
      <c r="J182" s="26">
        <v>6</v>
      </c>
      <c r="K182" s="27">
        <f t="shared" si="5"/>
        <v>4786.6000000000004</v>
      </c>
      <c r="L182" s="27">
        <v>4786.6000000000004</v>
      </c>
      <c r="M182" s="27"/>
      <c r="N182" s="1">
        <v>7</v>
      </c>
      <c r="O182" s="27">
        <f t="shared" si="6"/>
        <v>13111.72</v>
      </c>
      <c r="P182" s="27">
        <v>13111.72</v>
      </c>
      <c r="Q182" s="27"/>
      <c r="R182" s="31"/>
    </row>
    <row r="183" spans="1:38" s="7" customFormat="1" ht="16.5" customHeight="1">
      <c r="A183" s="24">
        <v>94</v>
      </c>
      <c r="B183" s="23" t="s">
        <v>146</v>
      </c>
      <c r="C183" s="24" t="s">
        <v>18</v>
      </c>
      <c r="D183" s="23"/>
      <c r="E183" s="23" t="s">
        <v>104</v>
      </c>
      <c r="F183" s="23" t="s">
        <v>475</v>
      </c>
      <c r="G183" s="23" t="s">
        <v>142</v>
      </c>
      <c r="H183" s="25">
        <v>30</v>
      </c>
      <c r="I183" s="1">
        <v>20</v>
      </c>
      <c r="J183" s="26">
        <v>20</v>
      </c>
      <c r="K183" s="27">
        <f t="shared" si="5"/>
        <v>0</v>
      </c>
      <c r="L183" s="27"/>
      <c r="M183" s="27"/>
      <c r="N183" s="1">
        <v>4</v>
      </c>
      <c r="O183" s="27">
        <f t="shared" si="6"/>
        <v>16604.21</v>
      </c>
      <c r="P183" s="27">
        <f>14026.97+2577.24</f>
        <v>16604.21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3.45" customHeight="1">
      <c r="A184" s="29">
        <v>95</v>
      </c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440</v>
      </c>
      <c r="G184" s="30" t="s">
        <v>142</v>
      </c>
      <c r="H184" s="25">
        <v>62</v>
      </c>
      <c r="I184" s="1">
        <v>51</v>
      </c>
      <c r="J184" s="26">
        <v>51</v>
      </c>
      <c r="K184" s="27">
        <f t="shared" si="5"/>
        <v>11917.66</v>
      </c>
      <c r="L184" s="27">
        <v>11917.66</v>
      </c>
      <c r="M184" s="27"/>
      <c r="N184" s="1">
        <v>18</v>
      </c>
      <c r="O184" s="27">
        <f t="shared" si="6"/>
        <v>98283.26</v>
      </c>
      <c r="P184" s="27">
        <v>98283.26</v>
      </c>
      <c r="Q184" s="27"/>
      <c r="R184" s="20"/>
    </row>
    <row r="185" spans="1:38" s="28" customFormat="1" ht="27" customHeight="1">
      <c r="A185" s="29"/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344</v>
      </c>
      <c r="G185" s="30" t="s">
        <v>122</v>
      </c>
      <c r="H185" s="25">
        <v>34</v>
      </c>
      <c r="I185" s="1">
        <v>9</v>
      </c>
      <c r="J185" s="44">
        <v>9</v>
      </c>
      <c r="K185" s="27">
        <f t="shared" si="5"/>
        <v>20645.599999999999</v>
      </c>
      <c r="L185" s="27">
        <v>20645.599999999999</v>
      </c>
      <c r="M185" s="27"/>
      <c r="N185" s="1">
        <v>16</v>
      </c>
      <c r="O185" s="27">
        <f t="shared" si="6"/>
        <v>30487.919999999998</v>
      </c>
      <c r="P185" s="27">
        <v>30487.919999999998</v>
      </c>
      <c r="Q185" s="27"/>
      <c r="R185" s="31"/>
    </row>
    <row r="186" spans="1:38" ht="27.75" customHeight="1">
      <c r="A186" s="24">
        <v>96</v>
      </c>
      <c r="B186" s="23" t="s">
        <v>111</v>
      </c>
      <c r="C186" s="24" t="s">
        <v>18</v>
      </c>
      <c r="D186" s="23"/>
      <c r="E186" s="23" t="s">
        <v>112</v>
      </c>
      <c r="F186" s="23" t="s">
        <v>441</v>
      </c>
      <c r="G186" s="23" t="s">
        <v>142</v>
      </c>
      <c r="H186" s="25">
        <v>9</v>
      </c>
      <c r="I186" s="1">
        <v>6</v>
      </c>
      <c r="J186" s="26">
        <v>6</v>
      </c>
      <c r="K186" s="27">
        <f t="shared" si="5"/>
        <v>0</v>
      </c>
      <c r="L186" s="27"/>
      <c r="M186" s="27"/>
      <c r="N186" s="1">
        <v>9</v>
      </c>
      <c r="O186" s="27">
        <f t="shared" si="6"/>
        <v>27541.74</v>
      </c>
      <c r="P186" s="27">
        <v>27541.74</v>
      </c>
      <c r="Q186" s="27"/>
      <c r="R186" s="20"/>
    </row>
    <row r="187" spans="1:38" s="28" customFormat="1" ht="16.5" customHeight="1">
      <c r="A187" s="24"/>
      <c r="B187" s="23" t="s">
        <v>111</v>
      </c>
      <c r="C187" s="24" t="s">
        <v>18</v>
      </c>
      <c r="D187" s="23"/>
      <c r="E187" s="23" t="s">
        <v>112</v>
      </c>
      <c r="F187" s="23" t="s">
        <v>466</v>
      </c>
      <c r="G187" s="23" t="s">
        <v>136</v>
      </c>
      <c r="H187" s="25">
        <v>10</v>
      </c>
      <c r="I187" s="2"/>
      <c r="J187" s="26"/>
      <c r="K187" s="27">
        <f t="shared" si="5"/>
        <v>881</v>
      </c>
      <c r="L187" s="27">
        <v>881</v>
      </c>
      <c r="M187" s="27"/>
      <c r="N187" s="2">
        <v>3</v>
      </c>
      <c r="O187" s="27">
        <f t="shared" si="6"/>
        <v>1991.2</v>
      </c>
      <c r="P187" s="27">
        <v>1991.2</v>
      </c>
      <c r="Q187" s="27"/>
      <c r="R187" s="31"/>
    </row>
    <row r="188" spans="1:38" s="28" customFormat="1" ht="16.5" customHeight="1">
      <c r="A188" s="41">
        <v>97</v>
      </c>
      <c r="B188" s="37" t="s">
        <v>482</v>
      </c>
      <c r="C188" s="41" t="s">
        <v>18</v>
      </c>
      <c r="D188" s="37"/>
      <c r="E188" s="37" t="s">
        <v>104</v>
      </c>
      <c r="F188" s="37" t="s">
        <v>483</v>
      </c>
      <c r="G188" s="37" t="s">
        <v>122</v>
      </c>
      <c r="H188" s="42">
        <v>9</v>
      </c>
      <c r="I188" s="38">
        <v>1</v>
      </c>
      <c r="J188" s="43">
        <v>1</v>
      </c>
      <c r="K188" s="27">
        <f t="shared" si="5"/>
        <v>552.29999999999995</v>
      </c>
      <c r="L188" s="39">
        <v>552.29999999999995</v>
      </c>
      <c r="M188" s="39"/>
      <c r="N188" s="38"/>
      <c r="O188" s="27">
        <f t="shared" si="6"/>
        <v>0</v>
      </c>
      <c r="P188" s="39"/>
      <c r="Q188" s="39"/>
      <c r="R188" s="31"/>
    </row>
    <row r="189" spans="1:38" ht="16.5" customHeight="1">
      <c r="A189" s="24">
        <v>98</v>
      </c>
      <c r="B189" s="23" t="s">
        <v>113</v>
      </c>
      <c r="C189" s="24" t="s">
        <v>18</v>
      </c>
      <c r="D189" s="23"/>
      <c r="E189" s="23" t="s">
        <v>19</v>
      </c>
      <c r="F189" s="23" t="s">
        <v>120</v>
      </c>
      <c r="G189" s="23" t="s">
        <v>142</v>
      </c>
      <c r="H189" s="25">
        <v>0</v>
      </c>
      <c r="I189" s="1"/>
      <c r="J189" s="26"/>
      <c r="K189" s="27">
        <f t="shared" si="5"/>
        <v>0</v>
      </c>
      <c r="L189" s="27"/>
      <c r="M189" s="27"/>
      <c r="N189" s="1">
        <v>3</v>
      </c>
      <c r="O189" s="27">
        <f t="shared" si="6"/>
        <v>4713.3500000000004</v>
      </c>
      <c r="P189" s="27">
        <f>660.75+4052.6</f>
        <v>4713.3500000000004</v>
      </c>
      <c r="Q189" s="27"/>
      <c r="R189" s="20"/>
    </row>
    <row r="190" spans="1:38" s="28" customFormat="1" ht="18.75" customHeight="1">
      <c r="A190" s="24"/>
      <c r="B190" s="23" t="s">
        <v>113</v>
      </c>
      <c r="C190" s="24" t="s">
        <v>18</v>
      </c>
      <c r="D190" s="23"/>
      <c r="E190" s="23" t="s">
        <v>19</v>
      </c>
      <c r="F190" s="23" t="s">
        <v>469</v>
      </c>
      <c r="G190" s="23" t="s">
        <v>122</v>
      </c>
      <c r="H190" s="25">
        <v>31</v>
      </c>
      <c r="I190" s="1">
        <v>4</v>
      </c>
      <c r="J190" s="26">
        <v>4</v>
      </c>
      <c r="K190" s="27">
        <f t="shared" si="5"/>
        <v>21623.34</v>
      </c>
      <c r="L190" s="27">
        <v>21623.34</v>
      </c>
      <c r="M190" s="27"/>
      <c r="N190" s="1">
        <v>18</v>
      </c>
      <c r="O190" s="27">
        <f t="shared" si="6"/>
        <v>87493.26</v>
      </c>
      <c r="P190" s="27">
        <v>87493.26</v>
      </c>
      <c r="Q190" s="27"/>
      <c r="R190" s="31"/>
    </row>
    <row r="191" spans="1:38" ht="20.25" customHeight="1">
      <c r="A191" s="24">
        <v>99</v>
      </c>
      <c r="B191" s="23" t="s">
        <v>114</v>
      </c>
      <c r="C191" s="24" t="s">
        <v>18</v>
      </c>
      <c r="D191" s="23"/>
      <c r="E191" s="23" t="s">
        <v>41</v>
      </c>
      <c r="F191" s="23" t="s">
        <v>443</v>
      </c>
      <c r="G191" s="23" t="s">
        <v>142</v>
      </c>
      <c r="H191" s="25">
        <v>9</v>
      </c>
      <c r="I191" s="1">
        <v>5</v>
      </c>
      <c r="J191" s="26">
        <v>6</v>
      </c>
      <c r="K191" s="27">
        <f t="shared" si="5"/>
        <v>3161.03</v>
      </c>
      <c r="L191" s="27">
        <v>3161.03</v>
      </c>
      <c r="M191" s="27"/>
      <c r="N191" s="1">
        <v>4</v>
      </c>
      <c r="O191" s="27">
        <f t="shared" si="6"/>
        <v>15866.6</v>
      </c>
      <c r="P191" s="27">
        <f>12416.6+3450</f>
        <v>15866.6</v>
      </c>
      <c r="Q191" s="27"/>
      <c r="R191" s="20"/>
    </row>
    <row r="192" spans="1:38" s="28" customFormat="1" ht="16.899999999999999" customHeight="1">
      <c r="A192" s="24"/>
      <c r="B192" s="23" t="s">
        <v>141</v>
      </c>
      <c r="C192" s="24" t="s">
        <v>18</v>
      </c>
      <c r="D192" s="23"/>
      <c r="E192" s="23" t="s">
        <v>41</v>
      </c>
      <c r="F192" s="23" t="s">
        <v>368</v>
      </c>
      <c r="G192" s="23" t="s">
        <v>136</v>
      </c>
      <c r="H192" s="25">
        <v>12</v>
      </c>
      <c r="I192" s="2">
        <v>3</v>
      </c>
      <c r="J192" s="26">
        <v>3</v>
      </c>
      <c r="K192" s="27">
        <f t="shared" si="5"/>
        <v>12686.4</v>
      </c>
      <c r="L192" s="27">
        <v>12686.4</v>
      </c>
      <c r="M192" s="27"/>
      <c r="N192" s="2">
        <v>6</v>
      </c>
      <c r="O192" s="27">
        <f t="shared" si="6"/>
        <v>21848.799999999999</v>
      </c>
      <c r="P192" s="27">
        <v>21848.799999999999</v>
      </c>
      <c r="Q192" s="27"/>
      <c r="R192" s="31"/>
    </row>
    <row r="193" spans="1:44" ht="16.899999999999999" customHeight="1">
      <c r="A193" s="24">
        <v>100</v>
      </c>
      <c r="B193" s="23" t="s">
        <v>309</v>
      </c>
      <c r="C193" s="24" t="s">
        <v>18</v>
      </c>
      <c r="D193" s="23"/>
      <c r="E193" s="23" t="s">
        <v>19</v>
      </c>
      <c r="F193" s="23" t="s">
        <v>442</v>
      </c>
      <c r="G193" s="23" t="s">
        <v>142</v>
      </c>
      <c r="H193" s="25">
        <v>30</v>
      </c>
      <c r="I193" s="2">
        <v>25</v>
      </c>
      <c r="J193" s="26">
        <v>26</v>
      </c>
      <c r="K193" s="27">
        <f t="shared" si="5"/>
        <v>23580.67</v>
      </c>
      <c r="L193" s="27">
        <v>23580.67</v>
      </c>
      <c r="M193" s="27"/>
      <c r="N193" s="2"/>
      <c r="O193" s="27">
        <f t="shared" si="6"/>
        <v>0</v>
      </c>
      <c r="P193" s="27"/>
      <c r="Q193" s="27"/>
      <c r="R193" s="20"/>
    </row>
    <row r="194" spans="1:44" s="28" customFormat="1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343</v>
      </c>
      <c r="G194" s="23" t="s">
        <v>122</v>
      </c>
      <c r="H194" s="25">
        <v>8</v>
      </c>
      <c r="I194" s="2">
        <v>2</v>
      </c>
      <c r="J194" s="26">
        <v>2</v>
      </c>
      <c r="K194" s="27">
        <f t="shared" si="5"/>
        <v>1233.4000000000001</v>
      </c>
      <c r="L194" s="27">
        <v>1233.4000000000001</v>
      </c>
      <c r="M194" s="27"/>
      <c r="N194" s="2"/>
      <c r="O194" s="27">
        <f t="shared" si="6"/>
        <v>0</v>
      </c>
      <c r="P194" s="27"/>
      <c r="Q194" s="27"/>
      <c r="R194" s="31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324</v>
      </c>
      <c r="G195" s="23" t="s">
        <v>124</v>
      </c>
      <c r="H195" s="25">
        <v>1</v>
      </c>
      <c r="I195" s="2"/>
      <c r="J195" s="26"/>
      <c r="K195" s="27">
        <f t="shared" si="5"/>
        <v>0</v>
      </c>
      <c r="L195" s="27"/>
      <c r="M195" s="27"/>
      <c r="N195" s="2"/>
      <c r="O195" s="27">
        <f t="shared" si="6"/>
        <v>0</v>
      </c>
      <c r="P195" s="27"/>
      <c r="Q195" s="27"/>
      <c r="R195" s="31"/>
    </row>
    <row r="196" spans="1:44" ht="24.6" customHeight="1">
      <c r="A196" s="29">
        <v>101</v>
      </c>
      <c r="B196" s="30" t="s">
        <v>115</v>
      </c>
      <c r="C196" s="29" t="s">
        <v>52</v>
      </c>
      <c r="D196" s="30" t="s">
        <v>110</v>
      </c>
      <c r="E196" s="30" t="s">
        <v>19</v>
      </c>
      <c r="F196" s="30"/>
      <c r="G196" s="30" t="s">
        <v>142</v>
      </c>
      <c r="H196" s="25">
        <v>0</v>
      </c>
      <c r="I196" s="1"/>
      <c r="J196" s="26"/>
      <c r="K196" s="27">
        <f t="shared" si="5"/>
        <v>0</v>
      </c>
      <c r="L196" s="27"/>
      <c r="M196" s="27"/>
      <c r="N196" s="1">
        <v>1</v>
      </c>
      <c r="O196" s="27">
        <f t="shared" si="6"/>
        <v>0</v>
      </c>
      <c r="P196" s="27"/>
      <c r="Q196" s="27"/>
      <c r="R196" s="20"/>
    </row>
    <row r="197" spans="1:44" s="28" customFormat="1" ht="32.25" customHeight="1">
      <c r="A197" s="29"/>
      <c r="B197" s="30" t="s">
        <v>115</v>
      </c>
      <c r="C197" s="29" t="s">
        <v>52</v>
      </c>
      <c r="D197" s="30" t="s">
        <v>110</v>
      </c>
      <c r="E197" s="30" t="s">
        <v>19</v>
      </c>
      <c r="F197" s="30" t="s">
        <v>292</v>
      </c>
      <c r="G197" s="30" t="s">
        <v>122</v>
      </c>
      <c r="H197" s="25">
        <v>0</v>
      </c>
      <c r="I197" s="1"/>
      <c r="J197" s="44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31"/>
    </row>
    <row r="198" spans="1:44" ht="34.9" customHeight="1">
      <c r="A198" s="29">
        <v>102</v>
      </c>
      <c r="B198" s="30" t="s">
        <v>116</v>
      </c>
      <c r="C198" s="29" t="s">
        <v>52</v>
      </c>
      <c r="D198" s="30" t="s">
        <v>117</v>
      </c>
      <c r="E198" s="30" t="s">
        <v>19</v>
      </c>
      <c r="F198" s="30" t="s">
        <v>444</v>
      </c>
      <c r="G198" s="30" t="s">
        <v>142</v>
      </c>
      <c r="H198" s="25">
        <v>43</v>
      </c>
      <c r="I198" s="1">
        <v>31</v>
      </c>
      <c r="J198" s="44">
        <v>32</v>
      </c>
      <c r="K198" s="27">
        <f t="shared" si="5"/>
        <v>39374.14</v>
      </c>
      <c r="L198" s="27">
        <v>39374.14</v>
      </c>
      <c r="M198" s="27"/>
      <c r="N198" s="1">
        <v>5</v>
      </c>
      <c r="O198" s="27">
        <f t="shared" si="6"/>
        <v>26089.42</v>
      </c>
      <c r="P198" s="27">
        <f>23453.46+1317.98+1317.98</f>
        <v>26089.42</v>
      </c>
      <c r="Q198" s="27"/>
      <c r="R198" s="20"/>
    </row>
    <row r="199" spans="1:44" ht="28.5" customHeight="1">
      <c r="A199" s="29">
        <v>103</v>
      </c>
      <c r="B199" s="30" t="s">
        <v>209</v>
      </c>
      <c r="C199" s="29" t="s">
        <v>18</v>
      </c>
      <c r="D199" s="30"/>
      <c r="E199" s="30" t="s">
        <v>19</v>
      </c>
      <c r="F199" s="30" t="s">
        <v>123</v>
      </c>
      <c r="G199" s="30" t="s">
        <v>142</v>
      </c>
      <c r="H199" s="25">
        <v>0</v>
      </c>
      <c r="I199" s="1"/>
      <c r="J199" s="44"/>
      <c r="K199" s="27">
        <f t="shared" si="5"/>
        <v>0</v>
      </c>
      <c r="L199" s="27"/>
      <c r="M199" s="27"/>
      <c r="N199" s="1"/>
      <c r="O199" s="27">
        <f t="shared" si="6"/>
        <v>0</v>
      </c>
      <c r="P199" s="27"/>
      <c r="Q199" s="27"/>
      <c r="R199" s="20"/>
    </row>
    <row r="200" spans="1:44" ht="19.5" customHeight="1">
      <c r="A200" s="29">
        <v>104</v>
      </c>
      <c r="B200" s="30" t="s">
        <v>118</v>
      </c>
      <c r="C200" s="29" t="s">
        <v>18</v>
      </c>
      <c r="D200" s="30"/>
      <c r="E200" s="30" t="s">
        <v>41</v>
      </c>
      <c r="F200" s="30" t="s">
        <v>445</v>
      </c>
      <c r="G200" s="30" t="s">
        <v>142</v>
      </c>
      <c r="H200" s="25">
        <v>26</v>
      </c>
      <c r="I200" s="1">
        <v>14</v>
      </c>
      <c r="J200" s="44">
        <v>15</v>
      </c>
      <c r="K200" s="27">
        <f t="shared" si="5"/>
        <v>10009.780000000001</v>
      </c>
      <c r="L200" s="27">
        <v>10009.780000000001</v>
      </c>
      <c r="M200" s="27"/>
      <c r="N200" s="1">
        <v>25</v>
      </c>
      <c r="O200" s="27">
        <f t="shared" si="6"/>
        <v>36017.589999999997</v>
      </c>
      <c r="P200" s="27">
        <f>33365.57+2652.02</f>
        <v>36017.589999999997</v>
      </c>
      <c r="Q200" s="27"/>
      <c r="R200" s="20"/>
    </row>
    <row r="201" spans="1:44" s="28" customFormat="1" ht="30.6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298</v>
      </c>
      <c r="G201" s="23" t="s">
        <v>124</v>
      </c>
      <c r="H201" s="25">
        <v>0</v>
      </c>
      <c r="I201" s="1"/>
      <c r="J201" s="44"/>
      <c r="K201" s="27">
        <f t="shared" si="5"/>
        <v>0</v>
      </c>
      <c r="L201" s="27"/>
      <c r="M201" s="27"/>
      <c r="N201" s="1">
        <v>1</v>
      </c>
      <c r="O201" s="27">
        <f t="shared" si="6"/>
        <v>5462.2</v>
      </c>
      <c r="P201" s="27">
        <v>5462.2</v>
      </c>
      <c r="Q201" s="27"/>
      <c r="R201" s="31"/>
    </row>
    <row r="202" spans="1:44" s="28" customFormat="1" ht="27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123</v>
      </c>
      <c r="G202" s="23" t="s">
        <v>136</v>
      </c>
      <c r="H202" s="25">
        <v>0</v>
      </c>
      <c r="I202" s="2"/>
      <c r="J202" s="26"/>
      <c r="K202" s="27">
        <f t="shared" si="5"/>
        <v>0</v>
      </c>
      <c r="L202" s="27"/>
      <c r="M202" s="27"/>
      <c r="N202" s="2"/>
      <c r="O202" s="27">
        <f t="shared" si="6"/>
        <v>0</v>
      </c>
      <c r="P202" s="27"/>
      <c r="Q202" s="27"/>
      <c r="R202" s="31"/>
    </row>
    <row r="203" spans="1:44" s="28" customFormat="1" ht="27" customHeight="1">
      <c r="A203" s="53">
        <v>105</v>
      </c>
      <c r="B203" s="54" t="s">
        <v>489</v>
      </c>
      <c r="C203" s="53" t="s">
        <v>18</v>
      </c>
      <c r="D203" s="54"/>
      <c r="E203" s="54" t="s">
        <v>50</v>
      </c>
      <c r="F203" s="54" t="s">
        <v>490</v>
      </c>
      <c r="G203" s="54" t="s">
        <v>124</v>
      </c>
      <c r="H203" s="55">
        <v>1</v>
      </c>
      <c r="I203" s="56"/>
      <c r="J203" s="57"/>
      <c r="K203" s="39"/>
      <c r="L203" s="58"/>
      <c r="M203" s="58"/>
      <c r="N203" s="56"/>
      <c r="O203" s="39"/>
      <c r="P203" s="58"/>
      <c r="Q203" s="58"/>
      <c r="R203" s="31"/>
    </row>
    <row r="204" spans="1:44" s="14" customFormat="1" ht="27" customHeight="1">
      <c r="A204" s="46">
        <v>106</v>
      </c>
      <c r="B204" s="60" t="s">
        <v>325</v>
      </c>
      <c r="C204" s="46" t="s">
        <v>18</v>
      </c>
      <c r="D204" s="60"/>
      <c r="E204" s="60" t="s">
        <v>36</v>
      </c>
      <c r="F204" s="60" t="s">
        <v>446</v>
      </c>
      <c r="G204" s="60" t="s">
        <v>142</v>
      </c>
      <c r="H204" s="61">
        <v>12</v>
      </c>
      <c r="I204" s="32">
        <v>6</v>
      </c>
      <c r="J204" s="86">
        <v>6</v>
      </c>
      <c r="K204" s="27">
        <f t="shared" ref="K204:K206" si="7">L204+M204</f>
        <v>0</v>
      </c>
      <c r="L204" s="63"/>
      <c r="M204" s="63"/>
      <c r="N204" s="32"/>
      <c r="O204" s="27">
        <f t="shared" ref="O204:O206" si="8">P204+Q204</f>
        <v>0</v>
      </c>
      <c r="P204" s="63"/>
      <c r="Q204" s="63"/>
      <c r="R204" s="20"/>
      <c r="AM204" s="4"/>
      <c r="AN204" s="4"/>
      <c r="AO204" s="4"/>
      <c r="AP204" s="4"/>
      <c r="AQ204" s="4"/>
      <c r="AR204" s="4"/>
    </row>
    <row r="205" spans="1:44" s="28" customFormat="1" ht="27" customHeight="1">
      <c r="A205" s="46"/>
      <c r="B205" s="23" t="s">
        <v>325</v>
      </c>
      <c r="C205" s="24" t="s">
        <v>18</v>
      </c>
      <c r="D205" s="23"/>
      <c r="E205" s="23" t="s">
        <v>36</v>
      </c>
      <c r="F205" s="23" t="s">
        <v>369</v>
      </c>
      <c r="G205" s="23" t="s">
        <v>124</v>
      </c>
      <c r="H205" s="25">
        <v>3</v>
      </c>
      <c r="I205" s="2"/>
      <c r="J205" s="26"/>
      <c r="K205" s="27">
        <f t="shared" si="7"/>
        <v>0</v>
      </c>
      <c r="L205" s="27"/>
      <c r="M205" s="27"/>
      <c r="N205" s="2"/>
      <c r="O205" s="27">
        <f t="shared" si="8"/>
        <v>0</v>
      </c>
      <c r="P205" s="27"/>
      <c r="Q205" s="27"/>
      <c r="R205" s="31"/>
    </row>
    <row r="206" spans="1:44" s="28" customFormat="1" ht="18.75" customHeight="1" thickBot="1">
      <c r="A206" s="47"/>
      <c r="B206" s="48" t="s">
        <v>325</v>
      </c>
      <c r="C206" s="49" t="s">
        <v>18</v>
      </c>
      <c r="D206" s="48"/>
      <c r="E206" s="48" t="s">
        <v>370</v>
      </c>
      <c r="F206" s="48" t="s">
        <v>371</v>
      </c>
      <c r="G206" s="48" t="s">
        <v>136</v>
      </c>
      <c r="H206" s="50">
        <v>3</v>
      </c>
      <c r="I206" s="33"/>
      <c r="J206" s="51"/>
      <c r="K206" s="27">
        <f t="shared" si="7"/>
        <v>0</v>
      </c>
      <c r="L206" s="52"/>
      <c r="M206" s="52"/>
      <c r="N206" s="33"/>
      <c r="O206" s="27">
        <f t="shared" si="8"/>
        <v>0</v>
      </c>
      <c r="P206" s="52"/>
      <c r="Q206" s="52"/>
      <c r="R206" s="31"/>
    </row>
    <row r="207" spans="1:44" s="14" customFormat="1" ht="16.5" customHeight="1">
      <c r="A207" s="87" t="s">
        <v>145</v>
      </c>
      <c r="B207" s="87"/>
      <c r="C207" s="88"/>
      <c r="D207" s="89"/>
      <c r="E207" s="89"/>
      <c r="F207" s="89"/>
      <c r="G207" s="89"/>
      <c r="H207" s="88">
        <f>SUM(H10:H206)</f>
        <v>2670</v>
      </c>
      <c r="I207" s="88">
        <f>SUM(I10:I206)</f>
        <v>1253</v>
      </c>
      <c r="J207" s="88">
        <f>SUM(J10:J206)</f>
        <v>1357</v>
      </c>
      <c r="K207" s="90">
        <f>SUM(K10:K206)</f>
        <v>1139383.9599999995</v>
      </c>
      <c r="L207" s="90">
        <f t="shared" ref="L207:M207" si="9">SUM(L10:L206)</f>
        <v>1139383.9599999995</v>
      </c>
      <c r="M207" s="88">
        <f t="shared" si="9"/>
        <v>0</v>
      </c>
      <c r="N207" s="88">
        <f>SUM(N10:N206)</f>
        <v>1063</v>
      </c>
      <c r="O207" s="90">
        <f>SUM(O10:O206)</f>
        <v>2904619.6199999992</v>
      </c>
      <c r="P207" s="90">
        <f>SUM(P10:P206)</f>
        <v>2904619.6199999992</v>
      </c>
      <c r="Q207" s="90">
        <f>SUM(Q10:Q206)</f>
        <v>0</v>
      </c>
      <c r="R207" s="20"/>
      <c r="AM207" s="4"/>
      <c r="AN207" s="4"/>
      <c r="AO207" s="4"/>
      <c r="AP207" s="4"/>
      <c r="AQ207" s="4"/>
      <c r="AR207" s="4"/>
    </row>
    <row r="208" spans="1:44" s="14" customFormat="1" ht="15" customHeight="1">
      <c r="A208" s="5"/>
      <c r="B208" s="6"/>
      <c r="C208" s="5"/>
      <c r="D208" s="6"/>
      <c r="E208" s="6"/>
      <c r="F208" s="6"/>
      <c r="G208" s="6"/>
      <c r="H208" s="9"/>
      <c r="I208" s="9"/>
      <c r="J208" s="9"/>
      <c r="K208" s="9"/>
      <c r="L208" s="9"/>
      <c r="M208" s="11"/>
      <c r="N208" s="9"/>
      <c r="O208" s="9"/>
      <c r="P208" s="5"/>
      <c r="Q208" s="13"/>
      <c r="R208" s="20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12"/>
      <c r="N209" s="4"/>
      <c r="O209" s="4"/>
      <c r="P209" s="4"/>
      <c r="Q209" s="12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9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2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S212" s="20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>
      <c r="K216" s="15"/>
      <c r="L216" s="15"/>
      <c r="M216" s="15"/>
      <c r="N216" s="15"/>
      <c r="O216" s="15"/>
      <c r="P216" s="15"/>
      <c r="Q216" s="19"/>
      <c r="S216" s="20"/>
    </row>
    <row r="218" spans="1:44">
      <c r="K218" s="15"/>
      <c r="O218" s="15"/>
      <c r="P218" s="15"/>
    </row>
    <row r="221" spans="1:44">
      <c r="O221" s="15"/>
    </row>
    <row r="222" spans="1:44" s="12" customForma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15"/>
      <c r="N222" s="4"/>
      <c r="O222" s="4"/>
      <c r="P222" s="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4"/>
      <c r="AN222" s="4"/>
      <c r="AO222" s="4"/>
      <c r="AP222" s="4"/>
      <c r="AQ222" s="4"/>
      <c r="AR222" s="4"/>
    </row>
  </sheetData>
  <mergeCells count="8">
    <mergeCell ref="A207:B207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R222"/>
  <sheetViews>
    <sheetView topLeftCell="A196" zoomScaleNormal="100" workbookViewId="0">
      <selection activeCell="H207" sqref="A7:Q207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24</v>
      </c>
      <c r="I11" s="1">
        <v>10</v>
      </c>
      <c r="J11" s="26">
        <v>10</v>
      </c>
      <c r="K11" s="27">
        <f t="shared" ref="K11:K74" si="1">L11+M11</f>
        <v>18067.2</v>
      </c>
      <c r="L11" s="27">
        <v>18067.2</v>
      </c>
      <c r="M11" s="27"/>
      <c r="N11" s="1">
        <v>16</v>
      </c>
      <c r="O11" s="27">
        <f t="shared" ref="O11:O74" si="2">P11+Q11</f>
        <v>67766.52</v>
      </c>
      <c r="P11" s="27">
        <v>67766.52</v>
      </c>
      <c r="Q11" s="27"/>
      <c r="R11" s="31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36</v>
      </c>
      <c r="I12" s="1">
        <v>11</v>
      </c>
      <c r="J12" s="26">
        <v>15</v>
      </c>
      <c r="K12" s="27">
        <f t="shared" si="1"/>
        <v>6583.05</v>
      </c>
      <c r="L12" s="27">
        <v>6583.05</v>
      </c>
      <c r="M12" s="27"/>
      <c r="N12" s="1">
        <v>12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2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31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22</v>
      </c>
      <c r="J14" s="26">
        <v>33</v>
      </c>
      <c r="K14" s="27">
        <f t="shared" si="1"/>
        <v>14230.66</v>
      </c>
      <c r="L14" s="27">
        <v>14230.66</v>
      </c>
      <c r="M14" s="27"/>
      <c r="N14" s="1">
        <v>20</v>
      </c>
      <c r="O14" s="27">
        <f t="shared" si="2"/>
        <v>34494.57</v>
      </c>
      <c r="P14" s="27">
        <f>30961.32+3533.25</f>
        <v>34494.57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31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47</v>
      </c>
      <c r="I16" s="1">
        <v>41</v>
      </c>
      <c r="J16" s="26">
        <v>50</v>
      </c>
      <c r="K16" s="27">
        <f t="shared" si="1"/>
        <v>35564.14</v>
      </c>
      <c r="L16" s="27">
        <v>35564.14</v>
      </c>
      <c r="M16" s="27"/>
      <c r="N16" s="1">
        <v>24</v>
      </c>
      <c r="O16" s="27">
        <f t="shared" si="2"/>
        <v>69037.62</v>
      </c>
      <c r="P16" s="27">
        <f>65062.86+3974.76</f>
        <v>69037.62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47</v>
      </c>
      <c r="I20" s="1">
        <v>35</v>
      </c>
      <c r="J20" s="26">
        <v>36</v>
      </c>
      <c r="K20" s="27">
        <f t="shared" si="1"/>
        <v>32460.240000000002</v>
      </c>
      <c r="L20" s="27">
        <v>32460.240000000002</v>
      </c>
      <c r="M20" s="27"/>
      <c r="N20" s="1">
        <v>26</v>
      </c>
      <c r="O20" s="27">
        <f t="shared" si="2"/>
        <v>74450.66</v>
      </c>
      <c r="P20" s="27">
        <f>70362.9+2269.02+422.88+1395.86</f>
        <v>74450.66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31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15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12</v>
      </c>
      <c r="O22" s="27">
        <f t="shared" si="2"/>
        <v>21286.2</v>
      </c>
      <c r="P22" s="27">
        <v>21286.2</v>
      </c>
      <c r="Q22" s="27"/>
      <c r="R22" s="31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1</v>
      </c>
      <c r="O23" s="27">
        <f t="shared" si="2"/>
        <v>6214.5599999999995</v>
      </c>
      <c r="P23" s="27">
        <v>6214.5599999999995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0</v>
      </c>
      <c r="I24" s="1"/>
      <c r="J24" s="26"/>
      <c r="K24" s="27">
        <f t="shared" si="1"/>
        <v>0</v>
      </c>
      <c r="L24" s="27"/>
      <c r="M24" s="27"/>
      <c r="N24" s="1">
        <v>2</v>
      </c>
      <c r="O24" s="27">
        <f t="shared" si="2"/>
        <v>0</v>
      </c>
      <c r="P24" s="27"/>
      <c r="Q24" s="27"/>
      <c r="R24" s="31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/>
    </row>
    <row r="26" spans="1:38" s="28" customFormat="1" ht="15" customHeight="1">
      <c r="A26" s="41">
        <v>9</v>
      </c>
      <c r="B26" s="37" t="s">
        <v>484</v>
      </c>
      <c r="C26" s="41" t="s">
        <v>18</v>
      </c>
      <c r="D26" s="37"/>
      <c r="E26" s="37" t="s">
        <v>104</v>
      </c>
      <c r="F26" s="37" t="s">
        <v>487</v>
      </c>
      <c r="G26" s="37" t="s">
        <v>122</v>
      </c>
      <c r="H26" s="42">
        <v>7</v>
      </c>
      <c r="I26" s="40"/>
      <c r="J26" s="43"/>
      <c r="K26" s="27">
        <f t="shared" si="1"/>
        <v>0</v>
      </c>
      <c r="L26" s="39"/>
      <c r="M26" s="39"/>
      <c r="N26" s="40"/>
      <c r="O26" s="27">
        <f t="shared" si="2"/>
        <v>0</v>
      </c>
      <c r="P26" s="39"/>
      <c r="Q26" s="39"/>
      <c r="R26" s="31"/>
    </row>
    <row r="27" spans="1:3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f t="shared" si="1"/>
        <v>4086.08</v>
      </c>
      <c r="L27" s="27">
        <v>4086.08</v>
      </c>
      <c r="M27" s="27"/>
      <c r="N27" s="1">
        <v>3</v>
      </c>
      <c r="O27" s="27">
        <f t="shared" si="2"/>
        <v>3570.69</v>
      </c>
      <c r="P27" s="27">
        <f>3570.69</f>
        <v>3570.69</v>
      </c>
      <c r="Q27" s="27"/>
      <c r="R27" s="20"/>
    </row>
    <row r="28" spans="1:3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17</v>
      </c>
      <c r="I28" s="1">
        <v>8</v>
      </c>
      <c r="J28" s="44">
        <v>11</v>
      </c>
      <c r="K28" s="27">
        <f t="shared" si="1"/>
        <v>18888.64</v>
      </c>
      <c r="L28" s="27">
        <v>18888.64</v>
      </c>
      <c r="M28" s="27"/>
      <c r="N28" s="1">
        <v>4</v>
      </c>
      <c r="O28" s="27">
        <f t="shared" si="2"/>
        <v>18079.97</v>
      </c>
      <c r="P28" s="27">
        <f>12527.2+5552.77</f>
        <v>18079.97</v>
      </c>
      <c r="Q28" s="27"/>
      <c r="R28" s="20"/>
    </row>
    <row r="29" spans="1:38" s="28" customFormat="1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f t="shared" si="1"/>
        <v>0</v>
      </c>
      <c r="L29" s="27"/>
      <c r="M29" s="27"/>
      <c r="N29" s="1">
        <v>2</v>
      </c>
      <c r="O29" s="27">
        <f t="shared" si="2"/>
        <v>3259.7</v>
      </c>
      <c r="P29" s="27">
        <v>3259.7</v>
      </c>
      <c r="Q29" s="27"/>
      <c r="R29" s="31"/>
    </row>
    <row r="30" spans="1:38" s="7" customFormat="1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23</v>
      </c>
      <c r="I30" s="1">
        <v>18</v>
      </c>
      <c r="J30" s="26">
        <v>20</v>
      </c>
      <c r="K30" s="27">
        <f t="shared" si="1"/>
        <v>14723.62</v>
      </c>
      <c r="L30" s="27">
        <v>14723.62</v>
      </c>
      <c r="M30" s="27"/>
      <c r="N30" s="1">
        <v>19</v>
      </c>
      <c r="O30" s="27">
        <f t="shared" si="2"/>
        <v>20737.96</v>
      </c>
      <c r="P30" s="27">
        <v>20737.96</v>
      </c>
      <c r="Q30" s="27"/>
      <c r="R30" s="20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1:38" s="28" customFormat="1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f t="shared" si="1"/>
        <v>0</v>
      </c>
      <c r="L31" s="27"/>
      <c r="M31" s="27"/>
      <c r="N31" s="2">
        <v>4</v>
      </c>
      <c r="O31" s="27">
        <f t="shared" si="2"/>
        <v>0</v>
      </c>
      <c r="P31" s="27"/>
      <c r="Q31" s="27"/>
      <c r="R31" s="31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f t="shared" si="1"/>
        <v>4052.6</v>
      </c>
      <c r="L32" s="27">
        <v>4052.6</v>
      </c>
      <c r="M32" s="27"/>
      <c r="N32" s="2">
        <v>5</v>
      </c>
      <c r="O32" s="27">
        <f t="shared" si="2"/>
        <v>4921.8999999999996</v>
      </c>
      <c r="P32" s="27">
        <v>4921.8999999999996</v>
      </c>
      <c r="Q32" s="27"/>
      <c r="R32" s="31"/>
    </row>
    <row r="33" spans="1:38" s="7" customFormat="1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21</v>
      </c>
      <c r="I33" s="1">
        <v>15</v>
      </c>
      <c r="J33" s="26">
        <v>22</v>
      </c>
      <c r="K33" s="27">
        <f t="shared" si="1"/>
        <v>9975.4599999999991</v>
      </c>
      <c r="L33" s="27">
        <f>6122.51+3852.95</f>
        <v>9975.4599999999991</v>
      </c>
      <c r="M33" s="27"/>
      <c r="N33" s="1">
        <v>15</v>
      </c>
      <c r="O33" s="27">
        <f t="shared" si="2"/>
        <v>51128.02</v>
      </c>
      <c r="P33" s="27">
        <v>51128.02</v>
      </c>
      <c r="Q33" s="27"/>
      <c r="R33" s="20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1:38" s="28" customFormat="1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6</v>
      </c>
      <c r="I34" s="2">
        <v>2</v>
      </c>
      <c r="J34" s="26">
        <v>2</v>
      </c>
      <c r="K34" s="27">
        <f t="shared" si="1"/>
        <v>1380.75</v>
      </c>
      <c r="L34" s="27">
        <v>1380.75</v>
      </c>
      <c r="M34" s="27"/>
      <c r="N34" s="2">
        <v>4</v>
      </c>
      <c r="O34" s="27">
        <f t="shared" si="2"/>
        <v>2995.4</v>
      </c>
      <c r="P34" s="27">
        <v>2995.4</v>
      </c>
      <c r="Q34" s="27"/>
      <c r="R34" s="31"/>
    </row>
    <row r="35" spans="1:3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f t="shared" si="1"/>
        <v>0</v>
      </c>
      <c r="L35" s="27"/>
      <c r="M35" s="27"/>
      <c r="N35" s="1">
        <v>5</v>
      </c>
      <c r="O35" s="27">
        <f t="shared" si="2"/>
        <v>17504.7</v>
      </c>
      <c r="P35" s="27">
        <f>16623.7+881</f>
        <v>17504.7</v>
      </c>
      <c r="Q35" s="27"/>
      <c r="R35" s="20"/>
    </row>
    <row r="36" spans="1:38" s="28" customFormat="1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f t="shared" si="1"/>
        <v>528.6</v>
      </c>
      <c r="L36" s="27">
        <v>528.6</v>
      </c>
      <c r="M36" s="27"/>
      <c r="N36" s="1">
        <v>7</v>
      </c>
      <c r="O36" s="27">
        <f t="shared" si="2"/>
        <v>18317.34</v>
      </c>
      <c r="P36" s="27">
        <v>18317.34</v>
      </c>
      <c r="Q36" s="27"/>
      <c r="R36" s="31"/>
    </row>
    <row r="37" spans="1:38" s="7" customFormat="1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18</v>
      </c>
      <c r="I37" s="1">
        <v>5</v>
      </c>
      <c r="J37" s="26">
        <v>5</v>
      </c>
      <c r="K37" s="27">
        <f t="shared" si="1"/>
        <v>0</v>
      </c>
      <c r="L37" s="27"/>
      <c r="M37" s="27"/>
      <c r="N37" s="1">
        <v>12</v>
      </c>
      <c r="O37" s="27">
        <f t="shared" si="2"/>
        <v>13827.210000000001</v>
      </c>
      <c r="P37" s="27">
        <f>11156.02+2671.19</f>
        <v>13827.210000000001</v>
      </c>
      <c r="Q37" s="27"/>
      <c r="R37" s="20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1:38" s="28" customFormat="1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19</v>
      </c>
      <c r="I38" s="2">
        <v>2</v>
      </c>
      <c r="J38" s="26">
        <v>2</v>
      </c>
      <c r="K38" s="27">
        <f t="shared" si="1"/>
        <v>12586.8</v>
      </c>
      <c r="L38" s="27">
        <v>12586.8</v>
      </c>
      <c r="M38" s="27"/>
      <c r="N38" s="2">
        <v>6</v>
      </c>
      <c r="O38" s="27">
        <f t="shared" si="2"/>
        <v>15946.1</v>
      </c>
      <c r="P38" s="27">
        <v>15946.1</v>
      </c>
      <c r="Q38" s="27"/>
      <c r="R38" s="31"/>
    </row>
    <row r="39" spans="1:3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21</v>
      </c>
      <c r="I39" s="1">
        <v>13</v>
      </c>
      <c r="J39" s="26">
        <v>15</v>
      </c>
      <c r="K39" s="27">
        <f t="shared" si="1"/>
        <v>17627.599999999999</v>
      </c>
      <c r="L39" s="27">
        <v>17627.599999999999</v>
      </c>
      <c r="M39" s="27"/>
      <c r="N39" s="1">
        <v>12</v>
      </c>
      <c r="O39" s="27">
        <f t="shared" si="2"/>
        <v>31911.79</v>
      </c>
      <c r="P39" s="27">
        <f>28541.43+3370.36</f>
        <v>31911.79</v>
      </c>
      <c r="Q39" s="27"/>
      <c r="R39" s="20"/>
    </row>
    <row r="40" spans="1:38" s="28" customFormat="1" ht="14.4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17</v>
      </c>
      <c r="I40" s="2">
        <v>3</v>
      </c>
      <c r="J40" s="26">
        <v>3</v>
      </c>
      <c r="K40" s="27">
        <f t="shared" si="1"/>
        <v>5814.6</v>
      </c>
      <c r="L40" s="27">
        <v>5814.6</v>
      </c>
      <c r="M40" s="27"/>
      <c r="N40" s="2">
        <v>10</v>
      </c>
      <c r="O40" s="27">
        <f t="shared" si="2"/>
        <v>23225.599999999999</v>
      </c>
      <c r="P40" s="27">
        <v>23225.599999999999</v>
      </c>
      <c r="Q40" s="27"/>
      <c r="R40" s="31"/>
    </row>
    <row r="41" spans="1:3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13</v>
      </c>
      <c r="I41" s="1">
        <v>11</v>
      </c>
      <c r="J41" s="26">
        <v>12</v>
      </c>
      <c r="K41" s="27">
        <f t="shared" si="1"/>
        <v>5380.1399999999994</v>
      </c>
      <c r="L41" s="27">
        <f>1131.2+4248.94</f>
        <v>5380.1399999999994</v>
      </c>
      <c r="M41" s="27"/>
      <c r="N41" s="1">
        <v>6</v>
      </c>
      <c r="O41" s="27">
        <f t="shared" si="2"/>
        <v>6914.0999999999995</v>
      </c>
      <c r="P41" s="27">
        <f>4817.32+599.08+1497.7</f>
        <v>6914.0999999999995</v>
      </c>
      <c r="Q41" s="27"/>
      <c r="R41" s="20"/>
    </row>
    <row r="42" spans="1:38" s="28" customFormat="1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15</v>
      </c>
      <c r="I42" s="1"/>
      <c r="J42" s="26"/>
      <c r="K42" s="27">
        <f t="shared" si="1"/>
        <v>0</v>
      </c>
      <c r="L42" s="27"/>
      <c r="M42" s="27"/>
      <c r="N42" s="1">
        <v>5</v>
      </c>
      <c r="O42" s="27">
        <f t="shared" si="2"/>
        <v>6497.99</v>
      </c>
      <c r="P42" s="27">
        <v>6497.99</v>
      </c>
      <c r="Q42" s="27"/>
      <c r="R42" s="31"/>
    </row>
    <row r="43" spans="1:38" s="7" customFormat="1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27</v>
      </c>
      <c r="I43" s="1"/>
      <c r="J43" s="26"/>
      <c r="K43" s="27">
        <f t="shared" si="1"/>
        <v>15890.44</v>
      </c>
      <c r="L43" s="27">
        <v>15890.44</v>
      </c>
      <c r="M43" s="27"/>
      <c r="N43" s="1"/>
      <c r="O43" s="27">
        <f t="shared" si="2"/>
        <v>24085.7</v>
      </c>
      <c r="P43" s="27">
        <v>24085.7</v>
      </c>
      <c r="Q43" s="27"/>
      <c r="R43" s="20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 spans="1:38" s="28" customFormat="1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f t="shared" si="1"/>
        <v>0</v>
      </c>
      <c r="L44" s="27"/>
      <c r="M44" s="27"/>
      <c r="N44" s="2"/>
      <c r="O44" s="27">
        <f t="shared" si="2"/>
        <v>0</v>
      </c>
      <c r="P44" s="27"/>
      <c r="Q44" s="27"/>
      <c r="R44" s="31"/>
    </row>
    <row r="45" spans="1:3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f t="shared" si="1"/>
        <v>0</v>
      </c>
      <c r="L45" s="27"/>
      <c r="M45" s="27"/>
      <c r="N45" s="1">
        <v>5</v>
      </c>
      <c r="O45" s="27">
        <f t="shared" si="2"/>
        <v>35808.350000000006</v>
      </c>
      <c r="P45" s="27">
        <f>34238.41+1569.94</f>
        <v>35808.350000000006</v>
      </c>
      <c r="Q45" s="27"/>
      <c r="R45" s="20"/>
    </row>
    <row r="46" spans="1:38" s="28" customFormat="1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10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6431.3</v>
      </c>
      <c r="P46" s="27">
        <v>6431.3</v>
      </c>
      <c r="Q46" s="27"/>
      <c r="R46" s="31"/>
    </row>
    <row r="47" spans="1:3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f t="shared" si="1"/>
        <v>0</v>
      </c>
      <c r="L47" s="27"/>
      <c r="M47" s="27"/>
      <c r="N47" s="1">
        <v>10</v>
      </c>
      <c r="O47" s="27">
        <f t="shared" si="2"/>
        <v>25165.45</v>
      </c>
      <c r="P47" s="27">
        <f>22402.99+2762.46</f>
        <v>25165.45</v>
      </c>
      <c r="Q47" s="27"/>
      <c r="R47" s="20"/>
    </row>
    <row r="48" spans="1:38" s="28" customFormat="1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10</v>
      </c>
      <c r="I48" s="1">
        <v>2</v>
      </c>
      <c r="J48" s="26">
        <v>2</v>
      </c>
      <c r="K48" s="27">
        <f t="shared" si="1"/>
        <v>0</v>
      </c>
      <c r="L48" s="27"/>
      <c r="M48" s="27"/>
      <c r="N48" s="1">
        <v>9</v>
      </c>
      <c r="O48" s="27">
        <f t="shared" si="2"/>
        <v>20020.73</v>
      </c>
      <c r="P48" s="27">
        <v>20020.73</v>
      </c>
      <c r="Q48" s="27"/>
      <c r="R48" s="31"/>
    </row>
    <row r="49" spans="1:3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20</v>
      </c>
      <c r="I49" s="1">
        <v>18</v>
      </c>
      <c r="J49" s="26">
        <v>19</v>
      </c>
      <c r="K49" s="27">
        <f t="shared" si="1"/>
        <v>11305.32</v>
      </c>
      <c r="L49" s="27">
        <f>8384.28+2921.04</f>
        <v>11305.32</v>
      </c>
      <c r="M49" s="27"/>
      <c r="N49" s="1"/>
      <c r="O49" s="27">
        <f t="shared" si="2"/>
        <v>0</v>
      </c>
      <c r="P49" s="27"/>
      <c r="Q49" s="27"/>
      <c r="R49" s="20"/>
    </row>
    <row r="50" spans="1:38" s="28" customFormat="1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16</v>
      </c>
      <c r="I50" s="1">
        <v>2</v>
      </c>
      <c r="J50" s="26">
        <v>2</v>
      </c>
      <c r="K50" s="27">
        <f>L50+M50</f>
        <v>4050.2</v>
      </c>
      <c r="L50" s="27">
        <v>4050.2</v>
      </c>
      <c r="M50" s="27"/>
      <c r="N50" s="1"/>
      <c r="O50" s="27">
        <f t="shared" si="2"/>
        <v>0</v>
      </c>
      <c r="P50" s="27"/>
      <c r="Q50" s="27"/>
      <c r="R50" s="31"/>
    </row>
    <row r="51" spans="1:3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18</v>
      </c>
      <c r="I51" s="1">
        <v>15</v>
      </c>
      <c r="J51" s="26">
        <v>17</v>
      </c>
      <c r="K51" s="27">
        <f t="shared" si="1"/>
        <v>14488.18</v>
      </c>
      <c r="L51" s="27">
        <f>6913.6+7574.58</f>
        <v>14488.18</v>
      </c>
      <c r="M51" s="27"/>
      <c r="N51" s="1">
        <v>8</v>
      </c>
      <c r="O51" s="27">
        <f t="shared" si="2"/>
        <v>34567.22</v>
      </c>
      <c r="P51" s="27">
        <f>21680.73+1973.37+10913.12</f>
        <v>34567.22</v>
      </c>
      <c r="Q51" s="27"/>
      <c r="R51" s="20"/>
    </row>
    <row r="52" spans="1:38" s="28" customFormat="1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f t="shared" si="1"/>
        <v>0</v>
      </c>
      <c r="L52" s="27"/>
      <c r="M52" s="27"/>
      <c r="N52" s="1"/>
      <c r="O52" s="27">
        <f t="shared" si="2"/>
        <v>0</v>
      </c>
      <c r="P52" s="27"/>
      <c r="Q52" s="27"/>
      <c r="R52" s="31"/>
    </row>
    <row r="53" spans="1:3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f t="shared" si="1"/>
        <v>0</v>
      </c>
      <c r="L53" s="27"/>
      <c r="M53" s="27"/>
      <c r="N53" s="1">
        <v>10</v>
      </c>
      <c r="O53" s="27">
        <f t="shared" si="2"/>
        <v>0</v>
      </c>
      <c r="P53" s="27"/>
      <c r="Q53" s="27"/>
      <c r="R53" s="20"/>
    </row>
    <row r="54" spans="1:38" s="7" customFormat="1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28</v>
      </c>
      <c r="I54" s="1">
        <v>10</v>
      </c>
      <c r="J54" s="26">
        <v>10</v>
      </c>
      <c r="K54" s="27">
        <f t="shared" si="1"/>
        <v>3401.55</v>
      </c>
      <c r="L54" s="27">
        <v>3401.55</v>
      </c>
      <c r="M54" s="27"/>
      <c r="N54" s="1">
        <v>10</v>
      </c>
      <c r="O54" s="27">
        <f t="shared" si="2"/>
        <v>44392.14</v>
      </c>
      <c r="P54" s="27">
        <v>44392.14</v>
      </c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s="28" customFormat="1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12</v>
      </c>
      <c r="I55" s="2">
        <v>1</v>
      </c>
      <c r="J55" s="26">
        <v>1</v>
      </c>
      <c r="K55" s="27">
        <f t="shared" si="1"/>
        <v>2819.2</v>
      </c>
      <c r="L55" s="27">
        <v>2819.2</v>
      </c>
      <c r="M55" s="27"/>
      <c r="N55" s="2">
        <v>2</v>
      </c>
      <c r="O55" s="27">
        <f t="shared" si="2"/>
        <v>6343.2</v>
      </c>
      <c r="P55" s="27">
        <v>6343.2</v>
      </c>
      <c r="Q55" s="27"/>
      <c r="R55" s="31"/>
    </row>
    <row r="56" spans="1:38" s="28" customFormat="1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f t="shared" si="1"/>
        <v>0</v>
      </c>
      <c r="L56" s="27"/>
      <c r="M56" s="27"/>
      <c r="N56" s="2"/>
      <c r="O56" s="27">
        <f t="shared" si="2"/>
        <v>0</v>
      </c>
      <c r="P56" s="27"/>
      <c r="Q56" s="27"/>
      <c r="R56" s="31"/>
    </row>
    <row r="57" spans="1:38" s="28" customFormat="1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31</v>
      </c>
      <c r="I57" s="2">
        <v>3</v>
      </c>
      <c r="J57" s="26">
        <v>3</v>
      </c>
      <c r="K57" s="27">
        <f>L57+M57</f>
        <v>14109.4</v>
      </c>
      <c r="L57" s="27">
        <v>14109.4</v>
      </c>
      <c r="M57" s="27"/>
      <c r="N57" s="2"/>
      <c r="O57" s="27">
        <f>P57+Q57</f>
        <v>0</v>
      </c>
      <c r="P57" s="28">
        <v>0</v>
      </c>
      <c r="Q57" s="27"/>
      <c r="R57" s="31"/>
    </row>
    <row r="58" spans="1:38" s="8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f t="shared" si="1"/>
        <v>0</v>
      </c>
      <c r="L58" s="83"/>
      <c r="M58" s="83"/>
      <c r="N58" s="26"/>
      <c r="O58" s="27">
        <f t="shared" si="2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8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16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47</v>
      </c>
      <c r="I60" s="26">
        <v>26</v>
      </c>
      <c r="J60" s="26">
        <v>26</v>
      </c>
      <c r="K60" s="27">
        <f t="shared" si="1"/>
        <v>15476.810000000001</v>
      </c>
      <c r="L60" s="83">
        <f>12981.51+2495.3</f>
        <v>15476.810000000001</v>
      </c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7" customFormat="1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37</v>
      </c>
      <c r="I61" s="1">
        <v>24</v>
      </c>
      <c r="J61" s="26">
        <v>24</v>
      </c>
      <c r="K61" s="27">
        <f t="shared" si="1"/>
        <v>26838.02</v>
      </c>
      <c r="L61" s="27">
        <v>26838.02</v>
      </c>
      <c r="M61" s="27"/>
      <c r="N61" s="1">
        <v>16</v>
      </c>
      <c r="O61" s="27">
        <f t="shared" si="2"/>
        <v>28261.599999999999</v>
      </c>
      <c r="P61" s="27">
        <v>28261.599999999999</v>
      </c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32</v>
      </c>
      <c r="I62" s="1">
        <v>17</v>
      </c>
      <c r="J62" s="26">
        <v>20</v>
      </c>
      <c r="K62" s="27">
        <f t="shared" si="1"/>
        <v>12863.92</v>
      </c>
      <c r="L62" s="27">
        <v>12863.92</v>
      </c>
      <c r="M62" s="27"/>
      <c r="N62" s="1">
        <v>12</v>
      </c>
      <c r="O62" s="27">
        <f t="shared" si="2"/>
        <v>37111.350000000006</v>
      </c>
      <c r="P62" s="27">
        <v>37111.350000000006</v>
      </c>
      <c r="Q62" s="27"/>
      <c r="R62" s="20"/>
    </row>
    <row r="63" spans="1:38" s="28" customFormat="1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20</v>
      </c>
      <c r="I63" s="1">
        <v>4</v>
      </c>
      <c r="J63" s="26">
        <v>4</v>
      </c>
      <c r="K63" s="27">
        <f t="shared" si="1"/>
        <v>5685.8</v>
      </c>
      <c r="L63" s="27">
        <v>5685.8</v>
      </c>
      <c r="M63" s="27"/>
      <c r="N63" s="1">
        <v>11</v>
      </c>
      <c r="O63" s="27">
        <f t="shared" si="2"/>
        <v>29272.9</v>
      </c>
      <c r="P63" s="27">
        <v>29272.9</v>
      </c>
      <c r="Q63" s="27"/>
      <c r="R63" s="31"/>
    </row>
    <row r="64" spans="1:38" s="7" customFormat="1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16</v>
      </c>
      <c r="K64" s="27">
        <f t="shared" si="1"/>
        <v>20736.11</v>
      </c>
      <c r="L64" s="27">
        <v>20736.11</v>
      </c>
      <c r="M64" s="27"/>
      <c r="N64" s="1">
        <v>23</v>
      </c>
      <c r="O64" s="27">
        <f t="shared" si="2"/>
        <v>26863.22</v>
      </c>
      <c r="P64" s="27">
        <v>26863.22</v>
      </c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s="28" customFormat="1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f t="shared" si="1"/>
        <v>10924.4</v>
      </c>
      <c r="L65" s="27">
        <v>10924.4</v>
      </c>
      <c r="M65" s="27"/>
      <c r="N65" s="1">
        <v>19</v>
      </c>
      <c r="O65" s="27">
        <f t="shared" si="2"/>
        <v>51996.62</v>
      </c>
      <c r="P65" s="27">
        <v>51996.62</v>
      </c>
      <c r="Q65" s="27"/>
      <c r="R65" s="31"/>
    </row>
    <row r="66" spans="1:38" s="7" customFormat="1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5</v>
      </c>
      <c r="J66" s="26">
        <v>5</v>
      </c>
      <c r="K66" s="27">
        <f t="shared" si="1"/>
        <v>6395.62</v>
      </c>
      <c r="L66" s="27">
        <v>6395.62</v>
      </c>
      <c r="M66" s="27"/>
      <c r="N66" s="1">
        <v>5</v>
      </c>
      <c r="O66" s="27">
        <f t="shared" si="2"/>
        <v>11007.39</v>
      </c>
      <c r="P66" s="27">
        <v>11007.39</v>
      </c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s="7" customFormat="1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15</v>
      </c>
      <c r="I67" s="1">
        <v>12</v>
      </c>
      <c r="J67" s="26">
        <v>12</v>
      </c>
      <c r="K67" s="27">
        <f t="shared" si="1"/>
        <v>0</v>
      </c>
      <c r="L67" s="27"/>
      <c r="M67" s="27"/>
      <c r="N67" s="1">
        <v>9</v>
      </c>
      <c r="O67" s="27">
        <f t="shared" si="2"/>
        <v>100020.28</v>
      </c>
      <c r="P67" s="27">
        <v>100020.28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28" customFormat="1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f t="shared" si="1"/>
        <v>0</v>
      </c>
      <c r="L68" s="27"/>
      <c r="M68" s="27"/>
      <c r="N68" s="1">
        <v>4</v>
      </c>
      <c r="O68" s="27">
        <f t="shared" si="2"/>
        <v>8772.65</v>
      </c>
      <c r="P68" s="27">
        <v>8772.65</v>
      </c>
      <c r="Q68" s="27"/>
      <c r="R68" s="31"/>
    </row>
    <row r="69" spans="1:3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21</v>
      </c>
      <c r="I69" s="1">
        <v>9</v>
      </c>
      <c r="J69" s="26">
        <v>11</v>
      </c>
      <c r="K69" s="27">
        <f t="shared" si="1"/>
        <v>1399.0300000000002</v>
      </c>
      <c r="L69" s="27">
        <f>1046.63+352.4</f>
        <v>1399.0300000000002</v>
      </c>
      <c r="M69" s="27"/>
      <c r="N69" s="1">
        <v>10</v>
      </c>
      <c r="O69" s="27">
        <f t="shared" si="2"/>
        <v>8807.2000000000007</v>
      </c>
      <c r="P69" s="27">
        <f>6874.29+1932.91</f>
        <v>8807.2000000000007</v>
      </c>
      <c r="Q69" s="27"/>
      <c r="R69" s="20"/>
    </row>
    <row r="70" spans="1:38" s="28" customFormat="1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12</v>
      </c>
      <c r="I70" s="2">
        <v>4</v>
      </c>
      <c r="J70" s="26">
        <v>4</v>
      </c>
      <c r="K70" s="27">
        <f t="shared" si="1"/>
        <v>3171.6</v>
      </c>
      <c r="L70" s="27">
        <v>3171.6</v>
      </c>
      <c r="M70" s="27"/>
      <c r="N70" s="2">
        <v>6</v>
      </c>
      <c r="O70" s="27">
        <f t="shared" si="2"/>
        <v>6756.51</v>
      </c>
      <c r="P70" s="27">
        <v>6756.51</v>
      </c>
      <c r="Q70" s="27"/>
      <c r="R70" s="31"/>
    </row>
    <row r="71" spans="1:3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30</v>
      </c>
      <c r="I71" s="2">
        <v>21</v>
      </c>
      <c r="J71" s="26">
        <v>22</v>
      </c>
      <c r="K71" s="27">
        <f t="shared" si="1"/>
        <v>4250.83</v>
      </c>
      <c r="L71" s="27">
        <f>3127.55+1123.28</f>
        <v>4250.83</v>
      </c>
      <c r="M71" s="27"/>
      <c r="N71" s="2"/>
      <c r="O71" s="27">
        <f t="shared" si="2"/>
        <v>0</v>
      </c>
      <c r="P71" s="27"/>
      <c r="Q71" s="27"/>
      <c r="R71" s="20"/>
    </row>
    <row r="72" spans="1:38" s="7" customFormat="1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38</v>
      </c>
      <c r="I72" s="1">
        <v>22</v>
      </c>
      <c r="J72" s="26">
        <v>23</v>
      </c>
      <c r="K72" s="27">
        <f t="shared" si="1"/>
        <v>12414.92</v>
      </c>
      <c r="L72" s="27">
        <v>12414.92</v>
      </c>
      <c r="M72" s="27"/>
      <c r="N72" s="1">
        <v>21</v>
      </c>
      <c r="O72" s="27">
        <f t="shared" si="2"/>
        <v>112152.42000000001</v>
      </c>
      <c r="P72" s="27">
        <f>109028.82+3123.6</f>
        <v>112152.42000000001</v>
      </c>
      <c r="Q72" s="27"/>
      <c r="R72" s="20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1:38" s="28" customFormat="1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f t="shared" si="1"/>
        <v>0</v>
      </c>
      <c r="L73" s="27"/>
      <c r="M73" s="27"/>
      <c r="N73" s="2"/>
      <c r="O73" s="27">
        <f t="shared" si="2"/>
        <v>0</v>
      </c>
      <c r="P73" s="27"/>
      <c r="Q73" s="27"/>
      <c r="R73" s="31"/>
    </row>
    <row r="74" spans="1:3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40</v>
      </c>
      <c r="I74" s="1">
        <v>24</v>
      </c>
      <c r="J74" s="26">
        <v>24</v>
      </c>
      <c r="K74" s="27">
        <f t="shared" si="1"/>
        <v>24129.81</v>
      </c>
      <c r="L74" s="27">
        <v>24129.81</v>
      </c>
      <c r="M74" s="27"/>
      <c r="N74" s="1">
        <v>8</v>
      </c>
      <c r="O74" s="27">
        <f t="shared" si="2"/>
        <v>31150.39</v>
      </c>
      <c r="P74" s="27">
        <v>31150.39</v>
      </c>
      <c r="Q74" s="27"/>
      <c r="R74" s="20"/>
    </row>
    <row r="75" spans="1:38" s="28" customFormat="1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491</v>
      </c>
      <c r="G75" s="23" t="s">
        <v>124</v>
      </c>
      <c r="H75" s="25">
        <v>2</v>
      </c>
      <c r="I75" s="1"/>
      <c r="J75" s="26"/>
      <c r="K75" s="27">
        <f t="shared" ref="K75:K138" si="3">L75+M75</f>
        <v>0</v>
      </c>
      <c r="L75" s="27"/>
      <c r="M75" s="27"/>
      <c r="N75" s="1">
        <v>1</v>
      </c>
      <c r="O75" s="27">
        <f t="shared" ref="O75:O138" si="4">P75+Q75</f>
        <v>2146.4</v>
      </c>
      <c r="P75" s="27">
        <v>2146.4</v>
      </c>
      <c r="Q75" s="27"/>
      <c r="R75" s="31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12</v>
      </c>
      <c r="I76" s="1">
        <v>2</v>
      </c>
      <c r="J76" s="26">
        <v>2</v>
      </c>
      <c r="K76" s="27">
        <f t="shared" si="3"/>
        <v>6200.7</v>
      </c>
      <c r="L76" s="27">
        <v>6200.7</v>
      </c>
      <c r="M76" s="27"/>
      <c r="N76" s="1">
        <v>9</v>
      </c>
      <c r="O76" s="27">
        <f t="shared" si="4"/>
        <v>42935.74</v>
      </c>
      <c r="P76" s="27">
        <v>42935.74</v>
      </c>
      <c r="Q76" s="27"/>
      <c r="R76" s="31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f t="shared" si="3"/>
        <v>0</v>
      </c>
      <c r="L77" s="27"/>
      <c r="M77" s="27"/>
      <c r="N77" s="1">
        <v>10</v>
      </c>
      <c r="O77" s="27">
        <f t="shared" si="4"/>
        <v>10370.91</v>
      </c>
      <c r="P77" s="27">
        <v>10370.91</v>
      </c>
      <c r="Q77" s="27"/>
      <c r="R77" s="31"/>
    </row>
    <row r="78" spans="1:3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20</v>
      </c>
      <c r="I78" s="1">
        <v>13</v>
      </c>
      <c r="J78" s="26">
        <v>13</v>
      </c>
      <c r="K78" s="27">
        <f t="shared" si="3"/>
        <v>9195</v>
      </c>
      <c r="L78" s="27">
        <f>4400.6+4794.4</f>
        <v>9195</v>
      </c>
      <c r="M78" s="27"/>
      <c r="N78" s="1">
        <v>17</v>
      </c>
      <c r="O78" s="27">
        <f t="shared" si="4"/>
        <v>67887.14</v>
      </c>
      <c r="P78" s="27">
        <v>67887.14</v>
      </c>
      <c r="Q78" s="27"/>
      <c r="R78" s="20"/>
    </row>
    <row r="79" spans="1:38" s="28" customFormat="1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23</v>
      </c>
      <c r="I79" s="2"/>
      <c r="J79" s="26"/>
      <c r="K79" s="27">
        <f t="shared" si="3"/>
        <v>6343.2</v>
      </c>
      <c r="L79" s="27">
        <v>6343.2</v>
      </c>
      <c r="M79" s="27"/>
      <c r="N79" s="2">
        <v>13</v>
      </c>
      <c r="O79" s="27">
        <f t="shared" si="4"/>
        <v>59901.36</v>
      </c>
      <c r="P79" s="27">
        <v>59901.36</v>
      </c>
      <c r="Q79" s="27"/>
      <c r="R79" s="31"/>
    </row>
    <row r="80" spans="1:38" s="17" customFormat="1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f t="shared" si="3"/>
        <v>0</v>
      </c>
      <c r="L80" s="27"/>
      <c r="M80" s="27"/>
      <c r="N80" s="2">
        <v>6</v>
      </c>
      <c r="O80" s="27">
        <f t="shared" si="4"/>
        <v>10043.4</v>
      </c>
      <c r="P80" s="27">
        <v>10043.4</v>
      </c>
      <c r="Q80" s="27"/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s="28" customFormat="1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11</v>
      </c>
      <c r="I81" s="1"/>
      <c r="J81" s="26"/>
      <c r="K81" s="27">
        <f t="shared" si="3"/>
        <v>0</v>
      </c>
      <c r="L81" s="27"/>
      <c r="M81" s="27"/>
      <c r="N81" s="1">
        <v>13</v>
      </c>
      <c r="O81" s="27">
        <f t="shared" si="4"/>
        <v>16465.599999999999</v>
      </c>
      <c r="P81" s="27">
        <v>16465.599999999999</v>
      </c>
      <c r="Q81" s="27"/>
      <c r="R81" s="31"/>
    </row>
    <row r="82" spans="1:3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21</v>
      </c>
      <c r="I82" s="1">
        <v>10</v>
      </c>
      <c r="J82" s="26">
        <v>10</v>
      </c>
      <c r="K82" s="27">
        <f t="shared" si="3"/>
        <v>0</v>
      </c>
      <c r="L82" s="27"/>
      <c r="M82" s="27"/>
      <c r="N82" s="1"/>
      <c r="O82" s="27">
        <f t="shared" si="4"/>
        <v>0</v>
      </c>
      <c r="P82" s="27"/>
      <c r="Q82" s="27"/>
      <c r="R82" s="20"/>
    </row>
    <row r="83" spans="1:38" s="28" customFormat="1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11</v>
      </c>
      <c r="I83" s="1"/>
      <c r="J83" s="26"/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31"/>
    </row>
    <row r="84" spans="1:38" s="17" customFormat="1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79</v>
      </c>
      <c r="I84" s="1">
        <v>42</v>
      </c>
      <c r="J84" s="26">
        <v>42</v>
      </c>
      <c r="K84" s="27">
        <f t="shared" si="3"/>
        <v>47012.42</v>
      </c>
      <c r="L84" s="27">
        <v>47012.42</v>
      </c>
      <c r="M84" s="27"/>
      <c r="N84" s="1">
        <v>3</v>
      </c>
      <c r="O84" s="27">
        <f t="shared" si="4"/>
        <v>12511.380000000001</v>
      </c>
      <c r="P84" s="27">
        <f>9777.93+2733.45</f>
        <v>12511.380000000001</v>
      </c>
      <c r="Q84" s="27"/>
      <c r="R84" s="20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:38" s="28" customFormat="1" ht="15" customHeight="1">
      <c r="A85" s="41">
        <v>42</v>
      </c>
      <c r="B85" s="37" t="s">
        <v>486</v>
      </c>
      <c r="C85" s="41" t="s">
        <v>18</v>
      </c>
      <c r="D85" s="37"/>
      <c r="E85" s="37" t="s">
        <v>488</v>
      </c>
      <c r="F85" s="37" t="s">
        <v>268</v>
      </c>
      <c r="G85" s="37" t="s">
        <v>131</v>
      </c>
      <c r="H85" s="42">
        <v>5</v>
      </c>
      <c r="I85" s="40"/>
      <c r="J85" s="43"/>
      <c r="K85" s="27">
        <f t="shared" si="3"/>
        <v>0</v>
      </c>
      <c r="L85" s="39"/>
      <c r="M85" s="39"/>
      <c r="N85" s="40"/>
      <c r="O85" s="27">
        <f t="shared" si="4"/>
        <v>0</v>
      </c>
      <c r="P85" s="39"/>
      <c r="Q85" s="39"/>
      <c r="R85" s="31"/>
    </row>
    <row r="86" spans="1:38" s="7" customFormat="1" ht="15" customHeight="1">
      <c r="A86" s="24">
        <v>43</v>
      </c>
      <c r="B86" s="23" t="s">
        <v>65</v>
      </c>
      <c r="C86" s="24" t="s">
        <v>18</v>
      </c>
      <c r="D86" s="23"/>
      <c r="E86" s="23" t="s">
        <v>66</v>
      </c>
      <c r="F86" s="23" t="s">
        <v>409</v>
      </c>
      <c r="G86" s="23" t="s">
        <v>142</v>
      </c>
      <c r="H86" s="25">
        <v>13</v>
      </c>
      <c r="I86" s="1">
        <v>4</v>
      </c>
      <c r="J86" s="26">
        <v>6</v>
      </c>
      <c r="K86" s="27">
        <f t="shared" si="3"/>
        <v>8041.41</v>
      </c>
      <c r="L86" s="27">
        <v>8041.41</v>
      </c>
      <c r="M86" s="27"/>
      <c r="N86" s="1">
        <v>14</v>
      </c>
      <c r="O86" s="27">
        <f t="shared" si="4"/>
        <v>10572.76</v>
      </c>
      <c r="P86" s="27">
        <v>10572.76</v>
      </c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28" customFormat="1" ht="15" customHeight="1">
      <c r="A87" s="24"/>
      <c r="B87" s="23" t="s">
        <v>65</v>
      </c>
      <c r="C87" s="24" t="s">
        <v>18</v>
      </c>
      <c r="D87" s="23"/>
      <c r="E87" s="23" t="s">
        <v>66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4"/>
        <v>0</v>
      </c>
      <c r="P87" s="27"/>
      <c r="Q87" s="27"/>
      <c r="R87" s="31"/>
    </row>
    <row r="88" spans="1:38" s="7" customFormat="1" ht="15" customHeight="1">
      <c r="A88" s="24">
        <v>44</v>
      </c>
      <c r="B88" s="23" t="s">
        <v>67</v>
      </c>
      <c r="C88" s="24" t="s">
        <v>18</v>
      </c>
      <c r="D88" s="23"/>
      <c r="E88" s="23" t="s">
        <v>19</v>
      </c>
      <c r="F88" s="23" t="s">
        <v>410</v>
      </c>
      <c r="G88" s="23" t="s">
        <v>142</v>
      </c>
      <c r="H88" s="25">
        <v>40</v>
      </c>
      <c r="I88" s="1">
        <v>37</v>
      </c>
      <c r="J88" s="26">
        <v>38</v>
      </c>
      <c r="K88" s="27">
        <f t="shared" si="3"/>
        <v>34327.040000000001</v>
      </c>
      <c r="L88" s="27">
        <v>34327.040000000001</v>
      </c>
      <c r="M88" s="27"/>
      <c r="N88" s="1">
        <v>15</v>
      </c>
      <c r="O88" s="27">
        <f t="shared" si="4"/>
        <v>28719.49</v>
      </c>
      <c r="P88" s="27">
        <v>28719.49</v>
      </c>
      <c r="Q88" s="27"/>
      <c r="R88" s="20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 spans="1:38" s="28" customFormat="1" ht="15" customHeight="1">
      <c r="A89" s="24"/>
      <c r="B89" s="23" t="s">
        <v>67</v>
      </c>
      <c r="C89" s="24" t="s">
        <v>18</v>
      </c>
      <c r="D89" s="23"/>
      <c r="E89" s="23" t="s">
        <v>104</v>
      </c>
      <c r="F89" s="23" t="s">
        <v>123</v>
      </c>
      <c r="G89" s="23" t="s">
        <v>122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31"/>
    </row>
    <row r="90" spans="1:38" ht="15" customHeight="1">
      <c r="A90" s="24">
        <v>45</v>
      </c>
      <c r="B90" s="23" t="s">
        <v>68</v>
      </c>
      <c r="C90" s="24" t="s">
        <v>18</v>
      </c>
      <c r="D90" s="24"/>
      <c r="E90" s="23" t="s">
        <v>50</v>
      </c>
      <c r="F90" s="23" t="s">
        <v>411</v>
      </c>
      <c r="G90" s="23" t="s">
        <v>142</v>
      </c>
      <c r="H90" s="25">
        <v>10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s="28" customFormat="1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123</v>
      </c>
      <c r="G91" s="23" t="s">
        <v>136</v>
      </c>
      <c r="H91" s="25">
        <v>0</v>
      </c>
      <c r="I91" s="2"/>
      <c r="J91" s="26"/>
      <c r="K91" s="27">
        <f t="shared" si="3"/>
        <v>0</v>
      </c>
      <c r="L91" s="27"/>
      <c r="M91" s="27"/>
      <c r="N91" s="2"/>
      <c r="O91" s="27">
        <f t="shared" si="4"/>
        <v>0</v>
      </c>
      <c r="P91" s="27"/>
      <c r="Q91" s="27"/>
      <c r="R91" s="31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292</v>
      </c>
      <c r="G92" s="23" t="s">
        <v>124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31"/>
    </row>
    <row r="93" spans="1:38" ht="15" customHeight="1">
      <c r="A93" s="24">
        <v>46</v>
      </c>
      <c r="B93" s="23" t="s">
        <v>127</v>
      </c>
      <c r="C93" s="24" t="s">
        <v>18</v>
      </c>
      <c r="D93" s="23"/>
      <c r="E93" s="23" t="s">
        <v>41</v>
      </c>
      <c r="F93" s="23" t="s">
        <v>412</v>
      </c>
      <c r="G93" s="23" t="s">
        <v>142</v>
      </c>
      <c r="H93" s="25">
        <v>15</v>
      </c>
      <c r="I93" s="2">
        <v>9</v>
      </c>
      <c r="J93" s="26">
        <v>10</v>
      </c>
      <c r="K93" s="27">
        <f t="shared" si="3"/>
        <v>10325.33</v>
      </c>
      <c r="L93" s="27">
        <v>10325.33</v>
      </c>
      <c r="M93" s="27"/>
      <c r="N93" s="2">
        <v>7</v>
      </c>
      <c r="O93" s="27">
        <f t="shared" si="4"/>
        <v>10757.419999999998</v>
      </c>
      <c r="P93" s="27">
        <f>4981.94+158.58+5616.9</f>
        <v>10757.419999999998</v>
      </c>
      <c r="Q93" s="27"/>
      <c r="R93" s="20"/>
    </row>
    <row r="94" spans="1:38" s="28" customFormat="1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364</v>
      </c>
      <c r="G94" s="23" t="s">
        <v>136</v>
      </c>
      <c r="H94" s="25">
        <v>11</v>
      </c>
      <c r="I94" s="2">
        <v>5</v>
      </c>
      <c r="J94" s="26">
        <v>5</v>
      </c>
      <c r="K94" s="27">
        <f t="shared" si="3"/>
        <v>6238.1</v>
      </c>
      <c r="L94" s="27">
        <v>6238.1</v>
      </c>
      <c r="M94" s="27"/>
      <c r="N94" s="2">
        <v>20</v>
      </c>
      <c r="O94" s="27">
        <f t="shared" si="4"/>
        <v>26350.31</v>
      </c>
      <c r="P94" s="27">
        <v>26350.31</v>
      </c>
      <c r="Q94" s="27"/>
      <c r="R94" s="31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375</v>
      </c>
      <c r="G95" s="23" t="s">
        <v>124</v>
      </c>
      <c r="H95" s="25">
        <v>1</v>
      </c>
      <c r="I95" s="2">
        <v>1</v>
      </c>
      <c r="J95" s="26">
        <v>1</v>
      </c>
      <c r="K95" s="27">
        <f t="shared" si="3"/>
        <v>1288.7</v>
      </c>
      <c r="L95" s="27">
        <v>1288.7</v>
      </c>
      <c r="M95" s="27"/>
      <c r="N95" s="2">
        <v>3</v>
      </c>
      <c r="O95" s="27">
        <f t="shared" si="4"/>
        <v>616.70000000000005</v>
      </c>
      <c r="P95" s="27">
        <v>616.70000000000005</v>
      </c>
      <c r="Q95" s="27"/>
      <c r="R95" s="31"/>
    </row>
    <row r="96" spans="1:38" s="7" customFormat="1" ht="15" customHeight="1">
      <c r="A96" s="74">
        <v>47</v>
      </c>
      <c r="B96" s="77" t="s">
        <v>69</v>
      </c>
      <c r="C96" s="74" t="s">
        <v>18</v>
      </c>
      <c r="D96" s="77"/>
      <c r="E96" s="77" t="s">
        <v>19</v>
      </c>
      <c r="F96" s="77" t="s">
        <v>292</v>
      </c>
      <c r="G96" s="77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s="7" customFormat="1" ht="15.75" customHeight="1">
      <c r="A97" s="74">
        <v>48</v>
      </c>
      <c r="B97" s="77" t="s">
        <v>70</v>
      </c>
      <c r="C97" s="74" t="s">
        <v>18</v>
      </c>
      <c r="D97" s="77"/>
      <c r="E97" s="77" t="s">
        <v>19</v>
      </c>
      <c r="F97" s="77" t="s">
        <v>413</v>
      </c>
      <c r="G97" s="77" t="s">
        <v>142</v>
      </c>
      <c r="H97" s="25">
        <v>13</v>
      </c>
      <c r="I97" s="1">
        <v>10</v>
      </c>
      <c r="J97" s="26">
        <v>10</v>
      </c>
      <c r="K97" s="27">
        <f t="shared" si="3"/>
        <v>6764.75</v>
      </c>
      <c r="L97" s="27">
        <f>2262.4+4502.35</f>
        <v>6764.75</v>
      </c>
      <c r="M97" s="27"/>
      <c r="N97" s="1">
        <v>7</v>
      </c>
      <c r="O97" s="27">
        <f t="shared" si="4"/>
        <v>23489.77</v>
      </c>
      <c r="P97" s="27">
        <v>23489.77</v>
      </c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ht="15" customHeight="1">
      <c r="A98" s="74">
        <v>49</v>
      </c>
      <c r="B98" s="77" t="s">
        <v>71</v>
      </c>
      <c r="C98" s="74" t="s">
        <v>18</v>
      </c>
      <c r="D98" s="77"/>
      <c r="E98" s="77" t="s">
        <v>32</v>
      </c>
      <c r="F98" s="77" t="s">
        <v>292</v>
      </c>
      <c r="G98" s="77" t="s">
        <v>121</v>
      </c>
      <c r="H98" s="25">
        <v>0</v>
      </c>
      <c r="I98" s="1"/>
      <c r="J98" s="26"/>
      <c r="K98" s="27">
        <f t="shared" si="3"/>
        <v>0</v>
      </c>
      <c r="L98" s="27"/>
      <c r="M98" s="27"/>
      <c r="N98" s="1">
        <v>2</v>
      </c>
      <c r="O98" s="27">
        <f t="shared" si="4"/>
        <v>10878.949999999999</v>
      </c>
      <c r="P98" s="27">
        <v>10878.949999999999</v>
      </c>
      <c r="Q98" s="27"/>
      <c r="R98" s="20"/>
    </row>
    <row r="99" spans="1:38" s="28" customFormat="1" ht="15" customHeight="1">
      <c r="A99" s="24"/>
      <c r="B99" s="23" t="s">
        <v>71</v>
      </c>
      <c r="C99" s="24" t="s">
        <v>18</v>
      </c>
      <c r="D99" s="23"/>
      <c r="E99" s="23" t="s">
        <v>32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38" ht="15" customHeight="1">
      <c r="A100" s="24">
        <v>50</v>
      </c>
      <c r="B100" s="23" t="s">
        <v>72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s="28" customFormat="1" ht="15" customHeight="1">
      <c r="A101" s="24"/>
      <c r="B101" s="23" t="s">
        <v>72</v>
      </c>
      <c r="C101" s="24" t="s">
        <v>18</v>
      </c>
      <c r="D101" s="23"/>
      <c r="E101" s="23" t="s">
        <v>19</v>
      </c>
      <c r="F101" s="23" t="s">
        <v>292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38" ht="15" customHeight="1">
      <c r="A102" s="24">
        <v>51</v>
      </c>
      <c r="B102" s="23" t="s">
        <v>73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s="7" customFormat="1" ht="15" customHeight="1">
      <c r="A103" s="24">
        <v>52</v>
      </c>
      <c r="B103" s="23" t="s">
        <v>74</v>
      </c>
      <c r="C103" s="24" t="s">
        <v>18</v>
      </c>
      <c r="D103" s="23"/>
      <c r="E103" s="23" t="s">
        <v>19</v>
      </c>
      <c r="F103" s="23" t="s">
        <v>414</v>
      </c>
      <c r="G103" s="23" t="s">
        <v>142</v>
      </c>
      <c r="H103" s="25">
        <v>28</v>
      </c>
      <c r="I103" s="1">
        <v>19</v>
      </c>
      <c r="J103" s="26">
        <v>21</v>
      </c>
      <c r="K103" s="27">
        <f t="shared" si="3"/>
        <v>11380.77</v>
      </c>
      <c r="L103" s="27">
        <v>11380.77</v>
      </c>
      <c r="M103" s="27"/>
      <c r="N103" s="1">
        <v>10</v>
      </c>
      <c r="O103" s="27">
        <f t="shared" si="4"/>
        <v>34082.68</v>
      </c>
      <c r="P103" s="27">
        <v>34082.68</v>
      </c>
      <c r="Q103" s="27"/>
      <c r="R103" s="20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 spans="1:38" s="7" customFormat="1" ht="15" customHeight="1">
      <c r="A104" s="24">
        <v>53</v>
      </c>
      <c r="B104" s="23" t="s">
        <v>312</v>
      </c>
      <c r="C104" s="24" t="s">
        <v>18</v>
      </c>
      <c r="D104" s="23"/>
      <c r="E104" s="23" t="s">
        <v>19</v>
      </c>
      <c r="F104" s="23" t="s">
        <v>415</v>
      </c>
      <c r="G104" s="23" t="s">
        <v>142</v>
      </c>
      <c r="H104" s="25">
        <v>16</v>
      </c>
      <c r="I104" s="1">
        <v>10</v>
      </c>
      <c r="J104" s="26">
        <v>10</v>
      </c>
      <c r="K104" s="27">
        <f t="shared" si="3"/>
        <v>19305.63</v>
      </c>
      <c r="L104" s="27">
        <v>19305.63</v>
      </c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28" customFormat="1" ht="15" customHeight="1">
      <c r="A105" s="24"/>
      <c r="B105" s="23" t="s">
        <v>312</v>
      </c>
      <c r="C105" s="24" t="s">
        <v>18</v>
      </c>
      <c r="D105" s="23"/>
      <c r="E105" s="23" t="s">
        <v>304</v>
      </c>
      <c r="F105" s="23" t="s">
        <v>339</v>
      </c>
      <c r="G105" s="23" t="s">
        <v>131</v>
      </c>
      <c r="H105" s="25">
        <v>13</v>
      </c>
      <c r="I105" s="1">
        <v>3</v>
      </c>
      <c r="J105" s="26">
        <v>3</v>
      </c>
      <c r="K105" s="27">
        <f t="shared" si="3"/>
        <v>1057.2</v>
      </c>
      <c r="L105" s="27">
        <v>1057.2</v>
      </c>
      <c r="M105" s="27"/>
      <c r="N105" s="1"/>
      <c r="O105" s="27">
        <f t="shared" si="4"/>
        <v>0</v>
      </c>
      <c r="Q105" s="27"/>
      <c r="R105" s="31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41</v>
      </c>
      <c r="F106" s="23" t="s">
        <v>467</v>
      </c>
      <c r="G106" s="23" t="s">
        <v>136</v>
      </c>
      <c r="H106" s="25">
        <v>31</v>
      </c>
      <c r="I106" s="1">
        <v>1</v>
      </c>
      <c r="J106" s="26">
        <v>1</v>
      </c>
      <c r="K106" s="27">
        <f t="shared" si="3"/>
        <v>11333.46</v>
      </c>
      <c r="L106" s="27">
        <v>11333.46</v>
      </c>
      <c r="M106" s="27"/>
      <c r="N106" s="1"/>
      <c r="O106" s="27">
        <f t="shared" si="4"/>
        <v>0</v>
      </c>
      <c r="P106" s="27"/>
      <c r="Q106" s="27"/>
      <c r="R106" s="31"/>
    </row>
    <row r="107" spans="1:38" ht="15" customHeight="1">
      <c r="A107" s="24">
        <v>54</v>
      </c>
      <c r="B107" s="23" t="s">
        <v>75</v>
      </c>
      <c r="C107" s="24" t="s">
        <v>18</v>
      </c>
      <c r="D107" s="23"/>
      <c r="E107" s="23" t="s">
        <v>19</v>
      </c>
      <c r="F107" s="23" t="s">
        <v>416</v>
      </c>
      <c r="G107" s="23" t="s">
        <v>142</v>
      </c>
      <c r="H107" s="25">
        <v>19</v>
      </c>
      <c r="I107" s="1">
        <v>17</v>
      </c>
      <c r="J107" s="26">
        <v>20</v>
      </c>
      <c r="K107" s="27">
        <f t="shared" si="3"/>
        <v>10653.08</v>
      </c>
      <c r="L107" s="27">
        <v>10653.08</v>
      </c>
      <c r="M107" s="27"/>
      <c r="N107" s="1">
        <v>19</v>
      </c>
      <c r="O107" s="27">
        <f t="shared" si="4"/>
        <v>99634.14</v>
      </c>
      <c r="P107" s="27">
        <f>98217.49+1416.65</f>
        <v>99634.14</v>
      </c>
      <c r="Q107" s="27"/>
      <c r="R107" s="20"/>
    </row>
    <row r="108" spans="1:38" s="28" customFormat="1" ht="13.15" customHeight="1">
      <c r="A108" s="24"/>
      <c r="B108" s="23" t="s">
        <v>75</v>
      </c>
      <c r="C108" s="24" t="s">
        <v>18</v>
      </c>
      <c r="D108" s="23"/>
      <c r="E108" s="23" t="s">
        <v>76</v>
      </c>
      <c r="F108" s="23" t="s">
        <v>335</v>
      </c>
      <c r="G108" s="23" t="s">
        <v>131</v>
      </c>
      <c r="H108" s="25">
        <v>27</v>
      </c>
      <c r="I108" s="1">
        <v>6</v>
      </c>
      <c r="J108" s="26">
        <v>6</v>
      </c>
      <c r="K108" s="27">
        <f t="shared" si="3"/>
        <v>0</v>
      </c>
      <c r="L108" s="27"/>
      <c r="M108" s="27"/>
      <c r="N108" s="1">
        <v>20</v>
      </c>
      <c r="O108" s="27">
        <f t="shared" si="4"/>
        <v>25590.400000000001</v>
      </c>
      <c r="P108" s="27">
        <v>25590.400000000001</v>
      </c>
      <c r="Q108" s="27"/>
      <c r="R108" s="31"/>
    </row>
    <row r="109" spans="1:38" s="28" customFormat="1" ht="15" customHeight="1">
      <c r="A109" s="24"/>
      <c r="B109" s="23" t="s">
        <v>140</v>
      </c>
      <c r="C109" s="24" t="s">
        <v>18</v>
      </c>
      <c r="D109" s="23"/>
      <c r="E109" s="23" t="s">
        <v>76</v>
      </c>
      <c r="F109" s="23" t="s">
        <v>377</v>
      </c>
      <c r="G109" s="23" t="s">
        <v>136</v>
      </c>
      <c r="H109" s="25">
        <v>28</v>
      </c>
      <c r="I109" s="2">
        <v>12</v>
      </c>
      <c r="J109" s="26">
        <v>12</v>
      </c>
      <c r="K109" s="27">
        <f t="shared" si="3"/>
        <v>8864.92</v>
      </c>
      <c r="L109" s="27">
        <v>8864.92</v>
      </c>
      <c r="M109" s="27"/>
      <c r="N109" s="2">
        <v>29</v>
      </c>
      <c r="O109" s="27">
        <f t="shared" si="4"/>
        <v>80550.14</v>
      </c>
      <c r="P109" s="35">
        <v>80550.14</v>
      </c>
      <c r="Q109" s="27"/>
      <c r="R109" s="31"/>
    </row>
    <row r="110" spans="1:38" s="17" customFormat="1" ht="15" customHeight="1">
      <c r="A110" s="24">
        <v>55</v>
      </c>
      <c r="B110" s="23" t="s">
        <v>267</v>
      </c>
      <c r="C110" s="24" t="s">
        <v>18</v>
      </c>
      <c r="D110" s="23"/>
      <c r="E110" s="23" t="s">
        <v>19</v>
      </c>
      <c r="F110" s="23" t="s">
        <v>268</v>
      </c>
      <c r="G110" s="23" t="s">
        <v>142</v>
      </c>
      <c r="H110" s="25">
        <v>0</v>
      </c>
      <c r="I110" s="2"/>
      <c r="J110" s="26"/>
      <c r="K110" s="27">
        <f t="shared" si="3"/>
        <v>0</v>
      </c>
      <c r="L110" s="27"/>
      <c r="M110" s="27"/>
      <c r="N110" s="2"/>
      <c r="O110" s="27">
        <f t="shared" si="4"/>
        <v>0</v>
      </c>
      <c r="P110" s="27"/>
      <c r="Q110" s="27"/>
      <c r="R110" s="20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:38" s="28" customFormat="1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336</v>
      </c>
      <c r="G111" s="23" t="s">
        <v>131</v>
      </c>
      <c r="H111" s="25">
        <v>8</v>
      </c>
      <c r="I111" s="2">
        <v>1</v>
      </c>
      <c r="J111" s="26">
        <v>1</v>
      </c>
      <c r="K111" s="27">
        <f t="shared" si="3"/>
        <v>0</v>
      </c>
      <c r="L111" s="27"/>
      <c r="M111" s="27"/>
      <c r="N111" s="2">
        <v>5</v>
      </c>
      <c r="O111" s="27">
        <f t="shared" si="4"/>
        <v>2937.3</v>
      </c>
      <c r="P111" s="27">
        <v>2937.3</v>
      </c>
      <c r="Q111" s="27"/>
      <c r="R111" s="31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455</v>
      </c>
      <c r="G112" s="23" t="s">
        <v>122</v>
      </c>
      <c r="H112" s="25">
        <v>10</v>
      </c>
      <c r="I112" s="2">
        <v>2</v>
      </c>
      <c r="J112" s="26">
        <v>2</v>
      </c>
      <c r="K112" s="27">
        <f t="shared" si="3"/>
        <v>3579.3</v>
      </c>
      <c r="L112" s="27">
        <v>3579.3</v>
      </c>
      <c r="M112" s="27"/>
      <c r="N112" s="2">
        <v>4</v>
      </c>
      <c r="O112" s="27">
        <f t="shared" si="4"/>
        <v>9834.4</v>
      </c>
      <c r="P112" s="27">
        <v>9834.4</v>
      </c>
      <c r="Q112" s="27"/>
      <c r="R112" s="31"/>
    </row>
    <row r="113" spans="1:38" ht="15" customHeight="1">
      <c r="A113" s="24">
        <v>56</v>
      </c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417</v>
      </c>
      <c r="G113" s="23" t="s">
        <v>142</v>
      </c>
      <c r="H113" s="25">
        <v>28</v>
      </c>
      <c r="I113" s="2">
        <v>20</v>
      </c>
      <c r="J113" s="26">
        <v>21</v>
      </c>
      <c r="K113" s="27">
        <f t="shared" si="3"/>
        <v>8880.7200000000012</v>
      </c>
      <c r="L113" s="27">
        <f>4342.45+4538.27</f>
        <v>8880.7200000000012</v>
      </c>
      <c r="M113" s="27"/>
      <c r="N113" s="2"/>
      <c r="O113" s="27">
        <f t="shared" si="4"/>
        <v>0</v>
      </c>
      <c r="P113" s="27"/>
      <c r="Q113" s="27"/>
      <c r="R113" s="20"/>
    </row>
    <row r="114" spans="1:38" s="28" customFormat="1" ht="15" customHeight="1">
      <c r="A114" s="24"/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340</v>
      </c>
      <c r="G114" s="23" t="s">
        <v>131</v>
      </c>
      <c r="H114" s="25">
        <v>20</v>
      </c>
      <c r="I114" s="2">
        <v>4</v>
      </c>
      <c r="J114" s="26">
        <v>4</v>
      </c>
      <c r="K114" s="27">
        <f t="shared" si="3"/>
        <v>0</v>
      </c>
      <c r="L114" s="27"/>
      <c r="M114" s="27"/>
      <c r="N114" s="2"/>
      <c r="O114" s="27">
        <f t="shared" si="4"/>
        <v>0</v>
      </c>
      <c r="P114" s="27"/>
      <c r="Q114" s="27"/>
      <c r="R114" s="31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307</v>
      </c>
      <c r="E115" s="23" t="s">
        <v>19</v>
      </c>
      <c r="F115" s="23" t="s">
        <v>350</v>
      </c>
      <c r="G115" s="23" t="s">
        <v>122</v>
      </c>
      <c r="H115" s="25">
        <v>12</v>
      </c>
      <c r="I115" s="2">
        <v>3</v>
      </c>
      <c r="J115" s="26">
        <v>3</v>
      </c>
      <c r="K115" s="27">
        <f t="shared" si="3"/>
        <v>3106</v>
      </c>
      <c r="L115" s="27">
        <v>3106</v>
      </c>
      <c r="M115" s="27"/>
      <c r="N115" s="2"/>
      <c r="O115" s="27">
        <f t="shared" si="4"/>
        <v>0</v>
      </c>
      <c r="P115" s="27"/>
      <c r="Q115" s="27"/>
      <c r="R115" s="31"/>
    </row>
    <row r="116" spans="1:38" ht="30.75" customHeight="1">
      <c r="A116" s="24">
        <v>57</v>
      </c>
      <c r="B116" s="23" t="s">
        <v>78</v>
      </c>
      <c r="C116" s="24" t="s">
        <v>18</v>
      </c>
      <c r="D116" s="23" t="s">
        <v>276</v>
      </c>
      <c r="E116" s="23" t="s">
        <v>19</v>
      </c>
      <c r="F116" s="23" t="s">
        <v>418</v>
      </c>
      <c r="G116" s="23" t="s">
        <v>142</v>
      </c>
      <c r="H116" s="25">
        <v>30</v>
      </c>
      <c r="I116" s="1">
        <v>26</v>
      </c>
      <c r="J116" s="26">
        <v>27</v>
      </c>
      <c r="K116" s="27">
        <f t="shared" si="3"/>
        <v>26169.39</v>
      </c>
      <c r="L116" s="27">
        <v>26169.39</v>
      </c>
      <c r="M116" s="27"/>
      <c r="N116" s="1">
        <v>11</v>
      </c>
      <c r="O116" s="27">
        <f t="shared" si="4"/>
        <v>40874.75</v>
      </c>
      <c r="P116" s="27">
        <v>40874.75</v>
      </c>
      <c r="Q116" s="27"/>
      <c r="R116" s="20"/>
    </row>
    <row r="117" spans="1:38" s="28" customFormat="1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131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38" ht="15" customHeight="1">
      <c r="A119" s="24">
        <v>58</v>
      </c>
      <c r="B119" s="23" t="s">
        <v>79</v>
      </c>
      <c r="C119" s="24" t="s">
        <v>18</v>
      </c>
      <c r="D119" s="23"/>
      <c r="E119" s="23" t="s">
        <v>19</v>
      </c>
      <c r="F119" s="23"/>
      <c r="G119" s="23" t="s">
        <v>142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80</v>
      </c>
      <c r="C120" s="24" t="s">
        <v>18</v>
      </c>
      <c r="D120" s="23"/>
      <c r="E120" s="23" t="s">
        <v>19</v>
      </c>
      <c r="F120" s="23" t="s">
        <v>419</v>
      </c>
      <c r="G120" s="23" t="s">
        <v>142</v>
      </c>
      <c r="H120" s="25">
        <v>27</v>
      </c>
      <c r="I120" s="1">
        <v>22</v>
      </c>
      <c r="J120" s="26">
        <v>28</v>
      </c>
      <c r="K120" s="27">
        <f t="shared" si="3"/>
        <v>23252.01</v>
      </c>
      <c r="L120" s="27">
        <v>23252.01</v>
      </c>
      <c r="M120" s="27"/>
      <c r="N120" s="1">
        <v>13</v>
      </c>
      <c r="O120" s="27">
        <f t="shared" si="4"/>
        <v>41732.35</v>
      </c>
      <c r="P120" s="27">
        <f>40384.42+1347.93</f>
        <v>41732.35</v>
      </c>
      <c r="Q120" s="27"/>
      <c r="R120" s="20"/>
    </row>
    <row r="121" spans="1:38" s="28" customFormat="1" ht="15" customHeight="1">
      <c r="A121" s="24"/>
      <c r="B121" s="23" t="s">
        <v>80</v>
      </c>
      <c r="C121" s="24" t="s">
        <v>18</v>
      </c>
      <c r="D121" s="23"/>
      <c r="E121" s="23" t="s">
        <v>19</v>
      </c>
      <c r="F121" s="23" t="s">
        <v>120</v>
      </c>
      <c r="G121" s="23" t="s">
        <v>122</v>
      </c>
      <c r="H121" s="25">
        <v>0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31"/>
    </row>
    <row r="122" spans="1:38" s="7" customFormat="1" ht="15" customHeight="1">
      <c r="A122" s="24">
        <v>60</v>
      </c>
      <c r="B122" s="23" t="s">
        <v>372</v>
      </c>
      <c r="C122" s="24" t="s">
        <v>18</v>
      </c>
      <c r="D122" s="23"/>
      <c r="E122" s="23" t="s">
        <v>19</v>
      </c>
      <c r="F122" s="23" t="s">
        <v>420</v>
      </c>
      <c r="G122" s="23" t="s">
        <v>142</v>
      </c>
      <c r="H122" s="25">
        <v>27</v>
      </c>
      <c r="I122" s="1">
        <v>6</v>
      </c>
      <c r="J122" s="26">
        <v>8</v>
      </c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28" customFormat="1" ht="15" customHeight="1">
      <c r="A123" s="24">
        <v>61</v>
      </c>
      <c r="B123" s="23" t="s">
        <v>313</v>
      </c>
      <c r="C123" s="24" t="s">
        <v>18</v>
      </c>
      <c r="D123" s="23"/>
      <c r="E123" s="23"/>
      <c r="F123" s="23" t="s">
        <v>342</v>
      </c>
      <c r="G123" s="23" t="s">
        <v>131</v>
      </c>
      <c r="H123" s="25">
        <v>1</v>
      </c>
      <c r="I123" s="1"/>
      <c r="J123" s="26"/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31"/>
    </row>
    <row r="124" spans="1:38" s="28" customFormat="1" ht="15" customHeight="1">
      <c r="A124" s="24"/>
      <c r="B124" s="23" t="s">
        <v>313</v>
      </c>
      <c r="C124" s="24" t="s">
        <v>18</v>
      </c>
      <c r="D124" s="23"/>
      <c r="E124" s="23" t="s">
        <v>41</v>
      </c>
      <c r="F124" s="23" t="s">
        <v>366</v>
      </c>
      <c r="G124" s="23" t="s">
        <v>136</v>
      </c>
      <c r="H124" s="25">
        <v>29</v>
      </c>
      <c r="I124" s="1">
        <v>6</v>
      </c>
      <c r="J124" s="26">
        <v>6</v>
      </c>
      <c r="K124" s="27">
        <f t="shared" si="3"/>
        <v>16481.849999999999</v>
      </c>
      <c r="L124" s="27">
        <v>16481.849999999999</v>
      </c>
      <c r="M124" s="27"/>
      <c r="N124" s="1"/>
      <c r="O124" s="27">
        <f t="shared" si="4"/>
        <v>0</v>
      </c>
      <c r="P124" s="27"/>
      <c r="Q124" s="27"/>
      <c r="R124" s="31"/>
    </row>
    <row r="125" spans="1:38" s="7" customFormat="1" ht="15" customHeight="1">
      <c r="A125" s="24">
        <v>62</v>
      </c>
      <c r="B125" s="23" t="s">
        <v>373</v>
      </c>
      <c r="C125" s="24" t="s">
        <v>52</v>
      </c>
      <c r="D125" s="23" t="s">
        <v>378</v>
      </c>
      <c r="E125" s="23" t="s">
        <v>104</v>
      </c>
      <c r="F125" s="23" t="s">
        <v>422</v>
      </c>
      <c r="G125" s="23" t="s">
        <v>142</v>
      </c>
      <c r="H125" s="25">
        <v>11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 spans="1:38" ht="15" customHeight="1">
      <c r="A126" s="24">
        <v>63</v>
      </c>
      <c r="B126" s="23" t="s">
        <v>81</v>
      </c>
      <c r="C126" s="24" t="s">
        <v>18</v>
      </c>
      <c r="D126" s="23"/>
      <c r="E126" s="23" t="s">
        <v>19</v>
      </c>
      <c r="F126" s="23" t="s">
        <v>421</v>
      </c>
      <c r="G126" s="23" t="s">
        <v>142</v>
      </c>
      <c r="H126" s="25">
        <v>15</v>
      </c>
      <c r="I126" s="1">
        <v>6</v>
      </c>
      <c r="J126" s="26">
        <v>6</v>
      </c>
      <c r="K126" s="27">
        <f t="shared" si="3"/>
        <v>1899.08</v>
      </c>
      <c r="L126" s="27">
        <v>1899.08</v>
      </c>
      <c r="M126" s="27"/>
      <c r="N126" s="1">
        <v>5</v>
      </c>
      <c r="O126" s="27">
        <f t="shared" si="4"/>
        <v>23638.28</v>
      </c>
      <c r="P126" s="27">
        <v>23638.28</v>
      </c>
      <c r="Q126" s="27"/>
      <c r="R126" s="20"/>
    </row>
    <row r="127" spans="1:38" s="28" customFormat="1" ht="15" customHeight="1">
      <c r="A127" s="24"/>
      <c r="B127" s="23" t="s">
        <v>81</v>
      </c>
      <c r="C127" s="24" t="s">
        <v>18</v>
      </c>
      <c r="D127" s="23"/>
      <c r="E127" s="23" t="s">
        <v>19</v>
      </c>
      <c r="F127" s="23" t="s">
        <v>453</v>
      </c>
      <c r="G127" s="23" t="s">
        <v>122</v>
      </c>
      <c r="H127" s="25">
        <v>6</v>
      </c>
      <c r="I127" s="1">
        <v>1</v>
      </c>
      <c r="J127" s="26">
        <v>1</v>
      </c>
      <c r="K127" s="27">
        <f t="shared" si="3"/>
        <v>0</v>
      </c>
      <c r="L127" s="27"/>
      <c r="M127" s="27"/>
      <c r="N127" s="1">
        <v>1</v>
      </c>
      <c r="O127" s="27">
        <f t="shared" si="4"/>
        <v>1850.1</v>
      </c>
      <c r="P127" s="27">
        <v>1850.1</v>
      </c>
      <c r="Q127" s="27"/>
      <c r="R127" s="31"/>
    </row>
    <row r="128" spans="1:38" s="7" customFormat="1" ht="15" customHeight="1">
      <c r="A128" s="24">
        <v>64</v>
      </c>
      <c r="B128" s="23" t="s">
        <v>82</v>
      </c>
      <c r="C128" s="24" t="s">
        <v>18</v>
      </c>
      <c r="D128" s="23"/>
      <c r="E128" s="23" t="s">
        <v>19</v>
      </c>
      <c r="F128" s="23" t="s">
        <v>423</v>
      </c>
      <c r="G128" s="23" t="s">
        <v>142</v>
      </c>
      <c r="H128" s="25">
        <v>28</v>
      </c>
      <c r="I128" s="1">
        <v>21</v>
      </c>
      <c r="J128" s="26">
        <v>21</v>
      </c>
      <c r="K128" s="27">
        <f t="shared" si="3"/>
        <v>14700.02</v>
      </c>
      <c r="L128" s="27">
        <v>14700.02</v>
      </c>
      <c r="M128" s="27"/>
      <c r="N128" s="1">
        <v>10</v>
      </c>
      <c r="O128" s="27">
        <f t="shared" si="4"/>
        <v>48930.57</v>
      </c>
      <c r="P128" s="27">
        <f>46040.89+2290.6+599.08</f>
        <v>48930.57</v>
      </c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s="28" customFormat="1" ht="15" customHeight="1">
      <c r="A129" s="24"/>
      <c r="B129" s="23" t="s">
        <v>82</v>
      </c>
      <c r="C129" s="24" t="s">
        <v>18</v>
      </c>
      <c r="D129" s="23"/>
      <c r="E129" s="23" t="s">
        <v>19</v>
      </c>
      <c r="F129" s="23" t="s">
        <v>481</v>
      </c>
      <c r="G129" s="23" t="s">
        <v>122</v>
      </c>
      <c r="H129" s="25">
        <v>0</v>
      </c>
      <c r="I129" s="1"/>
      <c r="J129" s="26"/>
      <c r="K129" s="27">
        <f t="shared" si="3"/>
        <v>0</v>
      </c>
      <c r="L129" s="27"/>
      <c r="M129" s="27"/>
      <c r="N129" s="1">
        <v>3</v>
      </c>
      <c r="O129" s="27">
        <f t="shared" si="4"/>
        <v>528.6</v>
      </c>
      <c r="P129" s="27">
        <v>528.6</v>
      </c>
      <c r="Q129" s="27"/>
      <c r="R129" s="31"/>
    </row>
    <row r="130" spans="1:38" ht="14.45" customHeight="1">
      <c r="A130" s="24">
        <v>65</v>
      </c>
      <c r="B130" s="23" t="s">
        <v>83</v>
      </c>
      <c r="C130" s="24" t="s">
        <v>30</v>
      </c>
      <c r="D130" s="23" t="s">
        <v>184</v>
      </c>
      <c r="E130" s="23" t="s">
        <v>19</v>
      </c>
      <c r="F130" s="23" t="s">
        <v>424</v>
      </c>
      <c r="G130" s="23" t="s">
        <v>142</v>
      </c>
      <c r="H130" s="25">
        <v>55</v>
      </c>
      <c r="I130" s="1">
        <v>48</v>
      </c>
      <c r="J130" s="26">
        <v>49</v>
      </c>
      <c r="K130" s="27">
        <f t="shared" si="3"/>
        <v>39337.339999999997</v>
      </c>
      <c r="L130" s="27">
        <v>39337.339999999997</v>
      </c>
      <c r="M130" s="27"/>
      <c r="N130" s="1">
        <v>14</v>
      </c>
      <c r="O130" s="27">
        <f t="shared" si="4"/>
        <v>29718.65</v>
      </c>
      <c r="P130" s="27">
        <f>28101.13+1617.52</f>
        <v>29718.65</v>
      </c>
      <c r="Q130" s="27"/>
      <c r="R130" s="20"/>
    </row>
    <row r="131" spans="1:38" s="28" customFormat="1" ht="14.45" customHeight="1">
      <c r="A131" s="24">
        <v>66</v>
      </c>
      <c r="B131" s="23" t="s">
        <v>303</v>
      </c>
      <c r="C131" s="24" t="s">
        <v>18</v>
      </c>
      <c r="D131" s="23"/>
      <c r="E131" s="23" t="s">
        <v>304</v>
      </c>
      <c r="F131" s="23" t="s">
        <v>473</v>
      </c>
      <c r="G131" s="23" t="s">
        <v>131</v>
      </c>
      <c r="H131" s="25">
        <v>13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38" s="7" customFormat="1" ht="15" customHeight="1">
      <c r="A132" s="24">
        <v>67</v>
      </c>
      <c r="B132" s="23" t="s">
        <v>84</v>
      </c>
      <c r="C132" s="24" t="s">
        <v>18</v>
      </c>
      <c r="D132" s="23"/>
      <c r="E132" s="23" t="s">
        <v>19</v>
      </c>
      <c r="F132" s="23" t="s">
        <v>425</v>
      </c>
      <c r="G132" s="23" t="s">
        <v>142</v>
      </c>
      <c r="H132" s="25">
        <v>25</v>
      </c>
      <c r="I132" s="1">
        <v>20</v>
      </c>
      <c r="J132" s="26">
        <v>23</v>
      </c>
      <c r="K132" s="27">
        <f t="shared" si="3"/>
        <v>20234.59</v>
      </c>
      <c r="L132" s="27">
        <f>15295.92+4938.67</f>
        <v>20234.59</v>
      </c>
      <c r="M132" s="27"/>
      <c r="N132" s="1">
        <v>14</v>
      </c>
      <c r="O132" s="27">
        <f t="shared" si="4"/>
        <v>19788.560000000001</v>
      </c>
      <c r="P132" s="27">
        <v>19788.560000000001</v>
      </c>
      <c r="Q132" s="27"/>
      <c r="R132" s="20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 spans="1:38" s="28" customFormat="1" ht="15" customHeight="1">
      <c r="A133" s="24"/>
      <c r="B133" s="23" t="s">
        <v>84</v>
      </c>
      <c r="C133" s="24" t="s">
        <v>18</v>
      </c>
      <c r="D133" s="23"/>
      <c r="E133" s="23" t="s">
        <v>19</v>
      </c>
      <c r="F133" s="37" t="s">
        <v>468</v>
      </c>
      <c r="G133" s="23" t="s">
        <v>122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>
        <v>2</v>
      </c>
      <c r="O133" s="27">
        <f t="shared" si="4"/>
        <v>1841</v>
      </c>
      <c r="P133" s="27">
        <v>1841</v>
      </c>
      <c r="Q133" s="27"/>
      <c r="R133" s="31"/>
    </row>
    <row r="134" spans="1:38" ht="15" customHeight="1">
      <c r="A134" s="24">
        <v>68</v>
      </c>
      <c r="B134" s="23" t="s">
        <v>85</v>
      </c>
      <c r="C134" s="24" t="s">
        <v>18</v>
      </c>
      <c r="D134" s="23"/>
      <c r="E134" s="23" t="s">
        <v>77</v>
      </c>
      <c r="F134" s="23" t="s">
        <v>426</v>
      </c>
      <c r="G134" s="23" t="s">
        <v>142</v>
      </c>
      <c r="H134" s="25">
        <v>27</v>
      </c>
      <c r="I134" s="1">
        <v>18</v>
      </c>
      <c r="J134" s="26">
        <v>22</v>
      </c>
      <c r="K134" s="27">
        <f t="shared" si="3"/>
        <v>7290.74</v>
      </c>
      <c r="L134" s="27">
        <v>7290.74</v>
      </c>
      <c r="M134" s="27"/>
      <c r="N134" s="1">
        <v>22</v>
      </c>
      <c r="O134" s="27">
        <f t="shared" si="4"/>
        <v>35519.81</v>
      </c>
      <c r="P134" s="27">
        <v>35519.81</v>
      </c>
      <c r="Q134" s="27"/>
      <c r="R134" s="20"/>
    </row>
    <row r="135" spans="1:38" s="28" customFormat="1" ht="15" customHeight="1">
      <c r="A135" s="24"/>
      <c r="B135" s="23" t="s">
        <v>85</v>
      </c>
      <c r="C135" s="24" t="s">
        <v>18</v>
      </c>
      <c r="D135" s="23"/>
      <c r="E135" s="23" t="s">
        <v>301</v>
      </c>
      <c r="F135" s="23" t="s">
        <v>337</v>
      </c>
      <c r="G135" s="23" t="s">
        <v>131</v>
      </c>
      <c r="H135" s="25">
        <v>45</v>
      </c>
      <c r="I135" s="1">
        <v>15</v>
      </c>
      <c r="J135" s="26">
        <v>15</v>
      </c>
      <c r="K135" s="27">
        <f t="shared" si="3"/>
        <v>2466.8000000000002</v>
      </c>
      <c r="L135" s="27">
        <v>2466.8000000000002</v>
      </c>
      <c r="M135" s="27"/>
      <c r="N135" s="1">
        <v>19</v>
      </c>
      <c r="O135" s="27">
        <f t="shared" si="4"/>
        <v>5330.06</v>
      </c>
      <c r="P135" s="27">
        <v>5330.06</v>
      </c>
      <c r="Q135" s="27"/>
      <c r="R135" s="31"/>
    </row>
    <row r="136" spans="1:38" ht="15" customHeight="1">
      <c r="A136" s="24">
        <v>69</v>
      </c>
      <c r="B136" s="23" t="s">
        <v>86</v>
      </c>
      <c r="C136" s="24" t="s">
        <v>18</v>
      </c>
      <c r="D136" s="23"/>
      <c r="E136" s="23" t="s">
        <v>77</v>
      </c>
      <c r="F136" s="23" t="s">
        <v>427</v>
      </c>
      <c r="G136" s="23" t="s">
        <v>142</v>
      </c>
      <c r="H136" s="25">
        <v>27</v>
      </c>
      <c r="I136" s="1">
        <v>14</v>
      </c>
      <c r="J136" s="26">
        <v>16</v>
      </c>
      <c r="K136" s="27">
        <f t="shared" si="3"/>
        <v>14801.52</v>
      </c>
      <c r="L136" s="27">
        <v>14801.52</v>
      </c>
      <c r="M136" s="27"/>
      <c r="N136" s="1">
        <v>14</v>
      </c>
      <c r="O136" s="27">
        <f t="shared" si="4"/>
        <v>44051.35</v>
      </c>
      <c r="P136" s="27">
        <v>44051.35</v>
      </c>
      <c r="Q136" s="27"/>
      <c r="R136" s="20"/>
    </row>
    <row r="137" spans="1:38" s="28" customFormat="1" ht="15" customHeight="1">
      <c r="A137" s="24"/>
      <c r="B137" s="23" t="s">
        <v>86</v>
      </c>
      <c r="C137" s="24" t="s">
        <v>18</v>
      </c>
      <c r="D137" s="23"/>
      <c r="E137" s="23" t="s">
        <v>301</v>
      </c>
      <c r="F137" s="23" t="s">
        <v>338</v>
      </c>
      <c r="G137" s="23" t="s">
        <v>131</v>
      </c>
      <c r="H137" s="25">
        <v>8</v>
      </c>
      <c r="I137" s="1">
        <v>2</v>
      </c>
      <c r="J137" s="26">
        <v>2</v>
      </c>
      <c r="K137" s="27">
        <f t="shared" si="3"/>
        <v>0</v>
      </c>
      <c r="L137" s="27"/>
      <c r="M137" s="27"/>
      <c r="N137" s="1">
        <v>4</v>
      </c>
      <c r="O137" s="27">
        <f t="shared" si="4"/>
        <v>5030.51</v>
      </c>
      <c r="P137" s="27">
        <v>5030.51</v>
      </c>
      <c r="Q137" s="27"/>
      <c r="R137" s="31"/>
    </row>
    <row r="138" spans="1:38" ht="28.9" customHeight="1">
      <c r="A138" s="29">
        <v>70</v>
      </c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292</v>
      </c>
      <c r="G138" s="30" t="s">
        <v>142</v>
      </c>
      <c r="H138" s="25">
        <v>0</v>
      </c>
      <c r="I138" s="1"/>
      <c r="J138" s="26"/>
      <c r="K138" s="27">
        <f t="shared" si="3"/>
        <v>0</v>
      </c>
      <c r="L138" s="27"/>
      <c r="M138" s="27"/>
      <c r="N138" s="1">
        <v>1</v>
      </c>
      <c r="O138" s="27">
        <f t="shared" si="4"/>
        <v>2730.25</v>
      </c>
      <c r="P138" s="27">
        <f>1564.44+1165.81</f>
        <v>2730.25</v>
      </c>
      <c r="Q138" s="27"/>
      <c r="R138" s="20"/>
    </row>
    <row r="139" spans="1:38" s="28" customFormat="1" ht="29.25" customHeight="1">
      <c r="A139" s="29"/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376</v>
      </c>
      <c r="G139" s="30" t="s">
        <v>122</v>
      </c>
      <c r="H139" s="25">
        <v>27</v>
      </c>
      <c r="I139" s="1">
        <v>8</v>
      </c>
      <c r="J139" s="44">
        <v>8</v>
      </c>
      <c r="K139" s="27">
        <f t="shared" ref="K139:K202" si="5">L139+M139</f>
        <v>9959.6</v>
      </c>
      <c r="L139" s="27">
        <v>9959.6</v>
      </c>
      <c r="M139" s="27"/>
      <c r="N139" s="1">
        <v>5</v>
      </c>
      <c r="O139" s="27">
        <f t="shared" ref="O139:O202" si="6">P139+Q139</f>
        <v>8968.58</v>
      </c>
      <c r="P139" s="27">
        <v>8968.58</v>
      </c>
      <c r="Q139" s="27"/>
      <c r="R139" s="31"/>
    </row>
    <row r="140" spans="1:38" ht="26.25" customHeight="1">
      <c r="A140" s="24">
        <v>71</v>
      </c>
      <c r="B140" s="23" t="s">
        <v>89</v>
      </c>
      <c r="C140" s="24" t="s">
        <v>18</v>
      </c>
      <c r="D140" s="23"/>
      <c r="E140" s="23" t="s">
        <v>19</v>
      </c>
      <c r="F140" s="23" t="s">
        <v>428</v>
      </c>
      <c r="G140" s="23" t="s">
        <v>142</v>
      </c>
      <c r="H140" s="25">
        <v>24</v>
      </c>
      <c r="I140" s="1">
        <v>14</v>
      </c>
      <c r="J140" s="26">
        <v>14</v>
      </c>
      <c r="K140" s="27">
        <f t="shared" si="5"/>
        <v>8817.93</v>
      </c>
      <c r="L140" s="27">
        <v>8817.93</v>
      </c>
      <c r="M140" s="27"/>
      <c r="N140" s="1">
        <v>9</v>
      </c>
      <c r="O140" s="27">
        <f t="shared" si="6"/>
        <v>26412.81</v>
      </c>
      <c r="P140" s="27">
        <v>26412.81</v>
      </c>
      <c r="Q140" s="27"/>
      <c r="R140" s="20"/>
    </row>
    <row r="141" spans="1:38" s="28" customFormat="1" ht="15" customHeight="1">
      <c r="A141" s="24"/>
      <c r="B141" s="23" t="s">
        <v>89</v>
      </c>
      <c r="C141" s="24" t="s">
        <v>18</v>
      </c>
      <c r="D141" s="23"/>
      <c r="E141" s="23" t="s">
        <v>19</v>
      </c>
      <c r="F141" s="23" t="s">
        <v>454</v>
      </c>
      <c r="G141" s="23" t="s">
        <v>122</v>
      </c>
      <c r="H141" s="25">
        <v>17</v>
      </c>
      <c r="I141" s="1">
        <v>1</v>
      </c>
      <c r="J141" s="26">
        <v>1</v>
      </c>
      <c r="K141" s="27">
        <f t="shared" si="5"/>
        <v>0</v>
      </c>
      <c r="L141" s="27"/>
      <c r="M141" s="27"/>
      <c r="N141" s="1">
        <v>8</v>
      </c>
      <c r="O141" s="27">
        <f t="shared" si="6"/>
        <v>22519.69</v>
      </c>
      <c r="P141" s="36">
        <v>22519.69</v>
      </c>
      <c r="Q141" s="27"/>
      <c r="R141" s="31"/>
    </row>
    <row r="142" spans="1:38" ht="15" customHeight="1">
      <c r="A142" s="24">
        <v>72</v>
      </c>
      <c r="B142" s="23" t="s">
        <v>90</v>
      </c>
      <c r="C142" s="24" t="s">
        <v>18</v>
      </c>
      <c r="D142" s="23"/>
      <c r="E142" s="23" t="s">
        <v>19</v>
      </c>
      <c r="F142" s="23" t="s">
        <v>429</v>
      </c>
      <c r="G142" s="23" t="s">
        <v>142</v>
      </c>
      <c r="H142" s="25">
        <v>15</v>
      </c>
      <c r="I142" s="1">
        <v>13</v>
      </c>
      <c r="J142" s="26">
        <v>13</v>
      </c>
      <c r="K142" s="27">
        <f t="shared" si="5"/>
        <v>5319.65</v>
      </c>
      <c r="L142" s="27">
        <f>2471.02+2848.63</f>
        <v>5319.65</v>
      </c>
      <c r="M142" s="27"/>
      <c r="N142" s="1">
        <v>5</v>
      </c>
      <c r="O142" s="27">
        <f t="shared" si="6"/>
        <v>10093.58</v>
      </c>
      <c r="P142" s="27">
        <v>10093.58</v>
      </c>
      <c r="Q142" s="27"/>
      <c r="R142" s="20"/>
    </row>
    <row r="143" spans="1:38" s="7" customFormat="1" ht="15" customHeight="1">
      <c r="A143" s="24">
        <v>73</v>
      </c>
      <c r="B143" s="23" t="s">
        <v>91</v>
      </c>
      <c r="C143" s="24" t="s">
        <v>18</v>
      </c>
      <c r="D143" s="23"/>
      <c r="E143" s="23" t="s">
        <v>92</v>
      </c>
      <c r="F143" s="23" t="s">
        <v>470</v>
      </c>
      <c r="G143" s="23" t="s">
        <v>142</v>
      </c>
      <c r="H143" s="25">
        <v>21</v>
      </c>
      <c r="I143" s="1">
        <v>16</v>
      </c>
      <c r="J143" s="26">
        <v>26</v>
      </c>
      <c r="K143" s="27">
        <f t="shared" si="5"/>
        <v>872.19</v>
      </c>
      <c r="L143" s="27">
        <v>872.19</v>
      </c>
      <c r="M143" s="27"/>
      <c r="N143" s="1">
        <v>23</v>
      </c>
      <c r="O143" s="27">
        <f t="shared" si="6"/>
        <v>39982.019999999997</v>
      </c>
      <c r="P143" s="27">
        <f>35132.88+3580.5+1268.64</f>
        <v>39982.019999999997</v>
      </c>
      <c r="Q143" s="27"/>
      <c r="R143" s="20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 spans="1:38" s="28" customFormat="1" ht="15" customHeight="1">
      <c r="A144" s="24"/>
      <c r="B144" s="23" t="s">
        <v>91</v>
      </c>
      <c r="C144" s="24" t="s">
        <v>18</v>
      </c>
      <c r="D144" s="23"/>
      <c r="E144" s="23" t="s">
        <v>92</v>
      </c>
      <c r="F144" s="23" t="s">
        <v>479</v>
      </c>
      <c r="G144" s="23" t="s">
        <v>136</v>
      </c>
      <c r="H144" s="25">
        <v>3</v>
      </c>
      <c r="I144" s="2"/>
      <c r="J144" s="26"/>
      <c r="K144" s="27">
        <f t="shared" si="5"/>
        <v>0</v>
      </c>
      <c r="L144" s="27"/>
      <c r="M144" s="27"/>
      <c r="N144" s="2">
        <v>6</v>
      </c>
      <c r="O144" s="27">
        <f t="shared" si="6"/>
        <v>2907.3</v>
      </c>
      <c r="P144" s="27">
        <v>2907.3</v>
      </c>
      <c r="Q144" s="27"/>
      <c r="R144" s="31"/>
    </row>
    <row r="145" spans="1:18" ht="15" customHeight="1">
      <c r="A145" s="24">
        <v>74</v>
      </c>
      <c r="B145" s="23" t="s">
        <v>93</v>
      </c>
      <c r="C145" s="24" t="s">
        <v>18</v>
      </c>
      <c r="D145" s="23"/>
      <c r="E145" s="23" t="s">
        <v>19</v>
      </c>
      <c r="F145" s="23" t="s">
        <v>123</v>
      </c>
      <c r="G145" s="23" t="s">
        <v>142</v>
      </c>
      <c r="H145" s="25">
        <v>0</v>
      </c>
      <c r="I145" s="2"/>
      <c r="J145" s="26"/>
      <c r="K145" s="27">
        <f t="shared" si="5"/>
        <v>0</v>
      </c>
      <c r="L145" s="27"/>
      <c r="M145" s="27"/>
      <c r="N145" s="2">
        <v>1</v>
      </c>
      <c r="O145" s="27">
        <f t="shared" si="6"/>
        <v>4017.3599999999997</v>
      </c>
      <c r="P145" s="27">
        <v>4017.3599999999997</v>
      </c>
      <c r="Q145" s="27"/>
      <c r="R145" s="20"/>
    </row>
    <row r="146" spans="1:18" s="28" customFormat="1" ht="15" customHeight="1">
      <c r="A146" s="24"/>
      <c r="B146" s="23" t="s">
        <v>93</v>
      </c>
      <c r="C146" s="24" t="s">
        <v>18</v>
      </c>
      <c r="D146" s="23"/>
      <c r="E146" s="23" t="s">
        <v>19</v>
      </c>
      <c r="F146" s="23" t="s">
        <v>120</v>
      </c>
      <c r="G146" s="23" t="s">
        <v>131</v>
      </c>
      <c r="H146" s="25">
        <v>0</v>
      </c>
      <c r="I146" s="1"/>
      <c r="J146" s="26"/>
      <c r="K146" s="27">
        <f t="shared" si="5"/>
        <v>0</v>
      </c>
      <c r="L146" s="27"/>
      <c r="M146" s="27"/>
      <c r="N146" s="1">
        <v>1</v>
      </c>
      <c r="O146" s="27">
        <f t="shared" si="6"/>
        <v>1797.24</v>
      </c>
      <c r="P146" s="27">
        <v>1797.24</v>
      </c>
      <c r="Q146" s="27"/>
      <c r="R146" s="31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/>
      <c r="F147" s="23" t="s">
        <v>261</v>
      </c>
      <c r="G147" s="23" t="s">
        <v>122</v>
      </c>
      <c r="H147" s="25">
        <v>10</v>
      </c>
      <c r="I147" s="1">
        <v>3</v>
      </c>
      <c r="J147" s="26">
        <v>3</v>
      </c>
      <c r="K147" s="27">
        <f t="shared" si="5"/>
        <v>0</v>
      </c>
      <c r="L147" s="27"/>
      <c r="M147" s="27"/>
      <c r="N147" s="1">
        <v>3</v>
      </c>
      <c r="O147" s="27">
        <f t="shared" si="6"/>
        <v>6255.1</v>
      </c>
      <c r="P147" s="27">
        <v>6255.1</v>
      </c>
      <c r="Q147" s="27"/>
      <c r="R147" s="31"/>
    </row>
    <row r="148" spans="1:18" ht="15" customHeight="1">
      <c r="A148" s="24">
        <v>75</v>
      </c>
      <c r="B148" s="23" t="s">
        <v>281</v>
      </c>
      <c r="C148" s="24" t="s">
        <v>18</v>
      </c>
      <c r="D148" s="23"/>
      <c r="E148" s="23" t="s">
        <v>19</v>
      </c>
      <c r="F148" s="23" t="s">
        <v>430</v>
      </c>
      <c r="G148" s="23" t="s">
        <v>142</v>
      </c>
      <c r="H148" s="25">
        <v>16</v>
      </c>
      <c r="I148" s="1">
        <v>11</v>
      </c>
      <c r="J148" s="26">
        <v>12</v>
      </c>
      <c r="K148" s="27">
        <f t="shared" si="5"/>
        <v>6670.26</v>
      </c>
      <c r="L148" s="27">
        <f>2702.63+3967.63</f>
        <v>6670.26</v>
      </c>
      <c r="M148" s="27"/>
      <c r="N148" s="1">
        <v>2</v>
      </c>
      <c r="O148" s="27">
        <f t="shared" si="6"/>
        <v>2640.13</v>
      </c>
      <c r="P148" s="27">
        <v>2640.13</v>
      </c>
      <c r="Q148" s="27"/>
      <c r="R148" s="20"/>
    </row>
    <row r="149" spans="1:18" s="28" customFormat="1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285</v>
      </c>
      <c r="G149" s="23" t="s">
        <v>131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>
        <v>1</v>
      </c>
      <c r="O149" s="27">
        <f t="shared" si="6"/>
        <v>0</v>
      </c>
      <c r="P149" s="27"/>
      <c r="Q149" s="27"/>
      <c r="R149" s="31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349</v>
      </c>
      <c r="G150" s="23" t="s">
        <v>122</v>
      </c>
      <c r="H150" s="25">
        <v>22</v>
      </c>
      <c r="I150" s="1">
        <v>5</v>
      </c>
      <c r="J150" s="26">
        <v>5</v>
      </c>
      <c r="K150" s="27">
        <f t="shared" si="5"/>
        <v>12186.16</v>
      </c>
      <c r="L150" s="27">
        <v>12186.16</v>
      </c>
      <c r="M150" s="27"/>
      <c r="N150" s="1">
        <v>6</v>
      </c>
      <c r="O150" s="27">
        <f t="shared" si="6"/>
        <v>13416.69</v>
      </c>
      <c r="P150" s="27">
        <v>13416.69</v>
      </c>
      <c r="Q150" s="27"/>
      <c r="R150" s="31"/>
    </row>
    <row r="151" spans="1:18" ht="15" customHeight="1">
      <c r="A151" s="24">
        <v>76</v>
      </c>
      <c r="B151" s="23" t="s">
        <v>94</v>
      </c>
      <c r="C151" s="24" t="s">
        <v>18</v>
      </c>
      <c r="D151" s="23"/>
      <c r="E151" s="23" t="s">
        <v>95</v>
      </c>
      <c r="F151" s="23" t="s">
        <v>431</v>
      </c>
      <c r="G151" s="23" t="s">
        <v>142</v>
      </c>
      <c r="H151" s="25">
        <v>41</v>
      </c>
      <c r="I151" s="1">
        <v>23</v>
      </c>
      <c r="J151" s="26">
        <v>34</v>
      </c>
      <c r="K151" s="27">
        <f t="shared" si="5"/>
        <v>39751.32</v>
      </c>
      <c r="L151" s="27">
        <v>39751.32</v>
      </c>
      <c r="M151" s="27"/>
      <c r="N151" s="1">
        <v>9</v>
      </c>
      <c r="O151" s="27">
        <f t="shared" si="6"/>
        <v>13489.94</v>
      </c>
      <c r="P151" s="27">
        <v>13489.94</v>
      </c>
      <c r="Q151" s="27"/>
      <c r="R151" s="20"/>
    </row>
    <row r="152" spans="1:18" s="28" customFormat="1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319</v>
      </c>
      <c r="G152" s="23" t="s">
        <v>124</v>
      </c>
      <c r="H152" s="25">
        <v>15</v>
      </c>
      <c r="I152" s="1">
        <v>2</v>
      </c>
      <c r="J152" s="26">
        <v>2</v>
      </c>
      <c r="K152" s="27">
        <f t="shared" si="5"/>
        <v>6519.4</v>
      </c>
      <c r="L152" s="27">
        <v>6519.4</v>
      </c>
      <c r="M152" s="27"/>
      <c r="N152" s="1">
        <v>2</v>
      </c>
      <c r="O152" s="27">
        <f t="shared" si="6"/>
        <v>3942.68</v>
      </c>
      <c r="P152" s="27">
        <v>3942.68</v>
      </c>
      <c r="Q152" s="27"/>
      <c r="R152" s="31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123</v>
      </c>
      <c r="G153" s="23" t="s">
        <v>131</v>
      </c>
      <c r="H153" s="25">
        <v>0</v>
      </c>
      <c r="I153" s="2"/>
      <c r="J153" s="26"/>
      <c r="K153" s="27">
        <f t="shared" si="5"/>
        <v>0</v>
      </c>
      <c r="L153" s="27"/>
      <c r="M153" s="27"/>
      <c r="N153" s="2"/>
      <c r="O153" s="27">
        <f t="shared" si="6"/>
        <v>0</v>
      </c>
      <c r="P153" s="27"/>
      <c r="Q153" s="27"/>
      <c r="R153" s="31"/>
    </row>
    <row r="154" spans="1:18" ht="15" customHeight="1">
      <c r="A154" s="24">
        <v>77</v>
      </c>
      <c r="B154" s="23" t="s">
        <v>96</v>
      </c>
      <c r="C154" s="24" t="s">
        <v>18</v>
      </c>
      <c r="D154" s="23"/>
      <c r="E154" s="23" t="s">
        <v>19</v>
      </c>
      <c r="F154" s="23" t="s">
        <v>432</v>
      </c>
      <c r="G154" s="23" t="s">
        <v>142</v>
      </c>
      <c r="H154" s="25">
        <v>7</v>
      </c>
      <c r="I154" s="1">
        <v>2</v>
      </c>
      <c r="J154" s="26">
        <v>2</v>
      </c>
      <c r="K154" s="27">
        <f t="shared" si="5"/>
        <v>7188.96</v>
      </c>
      <c r="L154" s="27">
        <v>7188.96</v>
      </c>
      <c r="M154" s="27"/>
      <c r="N154" s="1">
        <v>4</v>
      </c>
      <c r="O154" s="27">
        <f t="shared" si="6"/>
        <v>7739.93</v>
      </c>
      <c r="P154" s="27">
        <v>7739.93</v>
      </c>
      <c r="Q154" s="27"/>
      <c r="R154" s="20"/>
    </row>
    <row r="155" spans="1:18" s="28" customFormat="1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292</v>
      </c>
      <c r="G155" s="23" t="s">
        <v>131</v>
      </c>
      <c r="H155" s="25">
        <v>0</v>
      </c>
      <c r="I155" s="1"/>
      <c r="J155" s="26"/>
      <c r="K155" s="27">
        <f t="shared" si="5"/>
        <v>0</v>
      </c>
      <c r="L155" s="27"/>
      <c r="M155" s="27"/>
      <c r="N155" s="1">
        <v>2</v>
      </c>
      <c r="O155" s="27">
        <f t="shared" si="6"/>
        <v>6695.6</v>
      </c>
      <c r="P155" s="27">
        <v>6695.6</v>
      </c>
      <c r="Q155" s="27"/>
      <c r="R155" s="31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447</v>
      </c>
      <c r="G156" s="23" t="s">
        <v>122</v>
      </c>
      <c r="H156" s="25">
        <v>20</v>
      </c>
      <c r="I156" s="1">
        <v>6</v>
      </c>
      <c r="J156" s="26">
        <v>6</v>
      </c>
      <c r="K156" s="27">
        <f t="shared" si="5"/>
        <v>5286</v>
      </c>
      <c r="L156" s="27">
        <v>5286</v>
      </c>
      <c r="M156" s="27"/>
      <c r="N156" s="1">
        <v>6</v>
      </c>
      <c r="O156" s="27">
        <f t="shared" si="6"/>
        <v>12686.4</v>
      </c>
      <c r="P156" s="27">
        <v>12686.4</v>
      </c>
      <c r="Q156" s="27"/>
      <c r="R156" s="31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2" t="s">
        <v>19</v>
      </c>
      <c r="F157" s="23" t="s">
        <v>367</v>
      </c>
      <c r="G157" s="22" t="s">
        <v>136</v>
      </c>
      <c r="H157" s="45">
        <v>11</v>
      </c>
      <c r="I157" s="1">
        <v>2</v>
      </c>
      <c r="J157" s="26">
        <v>2</v>
      </c>
      <c r="K157" s="27">
        <f t="shared" si="5"/>
        <v>12713.48</v>
      </c>
      <c r="L157" s="27">
        <v>12713.48</v>
      </c>
      <c r="M157" s="27"/>
      <c r="N157" s="1">
        <v>2</v>
      </c>
      <c r="O157" s="27">
        <f t="shared" si="6"/>
        <v>0</v>
      </c>
      <c r="P157" s="27"/>
      <c r="Q157" s="27"/>
      <c r="R157" s="31"/>
    </row>
    <row r="158" spans="1:18" ht="15" customHeight="1">
      <c r="A158" s="24">
        <v>78</v>
      </c>
      <c r="B158" s="23" t="s">
        <v>97</v>
      </c>
      <c r="C158" s="24" t="s">
        <v>18</v>
      </c>
      <c r="D158" s="23"/>
      <c r="E158" s="23" t="s">
        <v>19</v>
      </c>
      <c r="F158" s="23" t="s">
        <v>462</v>
      </c>
      <c r="G158" s="23" t="s">
        <v>142</v>
      </c>
      <c r="H158" s="25">
        <v>6</v>
      </c>
      <c r="I158" s="1"/>
      <c r="J158" s="26"/>
      <c r="K158" s="27">
        <f t="shared" si="5"/>
        <v>0</v>
      </c>
      <c r="L158" s="27"/>
      <c r="M158" s="27"/>
      <c r="N158" s="1">
        <v>3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98</v>
      </c>
      <c r="C159" s="24" t="s">
        <v>18</v>
      </c>
      <c r="D159" s="23"/>
      <c r="E159" s="23" t="s">
        <v>19</v>
      </c>
      <c r="F159" s="23" t="s">
        <v>433</v>
      </c>
      <c r="G159" s="23" t="s">
        <v>142</v>
      </c>
      <c r="H159" s="25">
        <v>23</v>
      </c>
      <c r="I159" s="1">
        <v>17</v>
      </c>
      <c r="J159" s="26">
        <v>18</v>
      </c>
      <c r="K159" s="27">
        <f t="shared" si="5"/>
        <v>14455.97</v>
      </c>
      <c r="L159" s="27">
        <v>14455.97</v>
      </c>
      <c r="M159" s="27"/>
      <c r="N159" s="1">
        <v>9</v>
      </c>
      <c r="O159" s="27">
        <f t="shared" si="6"/>
        <v>35129.230000000003</v>
      </c>
      <c r="P159" s="27">
        <v>35129.230000000003</v>
      </c>
      <c r="Q159" s="27"/>
      <c r="R159" s="20"/>
    </row>
    <row r="160" spans="1:18" ht="15" customHeight="1">
      <c r="A160" s="24">
        <v>80</v>
      </c>
      <c r="B160" s="23" t="s">
        <v>99</v>
      </c>
      <c r="C160" s="24" t="s">
        <v>18</v>
      </c>
      <c r="D160" s="23"/>
      <c r="E160" s="23" t="s">
        <v>19</v>
      </c>
      <c r="F160" s="23" t="s">
        <v>120</v>
      </c>
      <c r="G160" s="23" t="s">
        <v>142</v>
      </c>
      <c r="H160" s="25">
        <v>0</v>
      </c>
      <c r="I160" s="1"/>
      <c r="J160" s="26"/>
      <c r="K160" s="27">
        <f t="shared" si="5"/>
        <v>0</v>
      </c>
      <c r="L160" s="27"/>
      <c r="M160" s="27"/>
      <c r="N160" s="1">
        <v>2</v>
      </c>
      <c r="O160" s="27">
        <f t="shared" si="6"/>
        <v>1923.17</v>
      </c>
      <c r="P160" s="27">
        <v>1923.17</v>
      </c>
      <c r="Q160" s="27"/>
      <c r="R160" s="20"/>
    </row>
    <row r="161" spans="1:18" ht="24.6" customHeight="1">
      <c r="A161" s="29">
        <v>81</v>
      </c>
      <c r="B161" s="30" t="s">
        <v>100</v>
      </c>
      <c r="C161" s="29" t="s">
        <v>30</v>
      </c>
      <c r="D161" s="30" t="s">
        <v>101</v>
      </c>
      <c r="E161" s="30" t="s">
        <v>19</v>
      </c>
      <c r="F161" s="23" t="s">
        <v>434</v>
      </c>
      <c r="G161" s="30" t="s">
        <v>142</v>
      </c>
      <c r="H161" s="25">
        <v>12</v>
      </c>
      <c r="I161" s="1"/>
      <c r="J161" s="26"/>
      <c r="K161" s="27">
        <f t="shared" si="5"/>
        <v>0</v>
      </c>
      <c r="L161" s="27"/>
      <c r="M161" s="27"/>
      <c r="N161" s="1"/>
      <c r="O161" s="27">
        <f t="shared" si="6"/>
        <v>0</v>
      </c>
      <c r="P161" s="27"/>
      <c r="Q161" s="27"/>
      <c r="R161" s="20"/>
    </row>
    <row r="162" spans="1:18" s="28" customFormat="1" ht="29.25" customHeight="1">
      <c r="A162" s="29"/>
      <c r="B162" s="30" t="s">
        <v>100</v>
      </c>
      <c r="C162" s="29" t="s">
        <v>30</v>
      </c>
      <c r="D162" s="30" t="s">
        <v>101</v>
      </c>
      <c r="E162" s="30" t="s">
        <v>19</v>
      </c>
      <c r="F162" s="30" t="s">
        <v>292</v>
      </c>
      <c r="G162" s="30" t="s">
        <v>122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31"/>
    </row>
    <row r="163" spans="1:18" ht="26.25" customHeight="1">
      <c r="A163" s="46">
        <v>82</v>
      </c>
      <c r="B163" s="60" t="s">
        <v>144</v>
      </c>
      <c r="C163" s="46" t="s">
        <v>18</v>
      </c>
      <c r="D163" s="60"/>
      <c r="E163" s="60" t="s">
        <v>104</v>
      </c>
      <c r="F163" s="60" t="s">
        <v>120</v>
      </c>
      <c r="G163" s="60" t="s">
        <v>142</v>
      </c>
      <c r="H163" s="61">
        <v>0</v>
      </c>
      <c r="I163" s="1"/>
      <c r="J163" s="26"/>
      <c r="K163" s="27">
        <f t="shared" si="5"/>
        <v>0</v>
      </c>
      <c r="L163" s="63"/>
      <c r="M163" s="63"/>
      <c r="N163" s="1"/>
      <c r="O163" s="27">
        <f t="shared" si="6"/>
        <v>0</v>
      </c>
      <c r="P163" s="63"/>
      <c r="Q163" s="63"/>
      <c r="R163" s="20"/>
    </row>
    <row r="164" spans="1:18" ht="15.75" customHeight="1">
      <c r="A164" s="24">
        <v>83</v>
      </c>
      <c r="B164" s="23" t="s">
        <v>102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18" ht="15" customHeight="1">
      <c r="A165" s="24">
        <v>84</v>
      </c>
      <c r="B165" s="23" t="s">
        <v>103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>
        <v>1</v>
      </c>
      <c r="O165" s="27">
        <f t="shared" si="6"/>
        <v>12670.26</v>
      </c>
      <c r="P165" s="27">
        <v>12670.26</v>
      </c>
      <c r="Q165" s="27"/>
      <c r="R165" s="20"/>
    </row>
    <row r="166" spans="1:18" s="28" customFormat="1" ht="15" customHeight="1">
      <c r="A166" s="24"/>
      <c r="B166" s="23" t="s">
        <v>103</v>
      </c>
      <c r="C166" s="24" t="s">
        <v>18</v>
      </c>
      <c r="D166" s="23"/>
      <c r="E166" s="23" t="s">
        <v>19</v>
      </c>
      <c r="F166" s="23" t="s">
        <v>456</v>
      </c>
      <c r="G166" s="23" t="s">
        <v>122</v>
      </c>
      <c r="H166" s="25">
        <v>9</v>
      </c>
      <c r="I166" s="1"/>
      <c r="J166" s="26"/>
      <c r="K166" s="27">
        <f t="shared" si="5"/>
        <v>0</v>
      </c>
      <c r="L166" s="27"/>
      <c r="M166" s="27"/>
      <c r="N166" s="1"/>
      <c r="O166" s="27">
        <f t="shared" si="6"/>
        <v>2731.1</v>
      </c>
      <c r="P166" s="27">
        <v>2731.1</v>
      </c>
      <c r="Q166" s="27"/>
      <c r="R166" s="31"/>
    </row>
    <row r="167" spans="1:18" ht="15" customHeight="1">
      <c r="A167" s="41">
        <v>85</v>
      </c>
      <c r="B167" s="37" t="s">
        <v>302</v>
      </c>
      <c r="C167" s="41" t="s">
        <v>18</v>
      </c>
      <c r="D167" s="37"/>
      <c r="E167" s="37" t="s">
        <v>104</v>
      </c>
      <c r="F167" s="37" t="s">
        <v>461</v>
      </c>
      <c r="G167" s="37" t="s">
        <v>142</v>
      </c>
      <c r="H167" s="42">
        <v>18</v>
      </c>
      <c r="I167" s="40">
        <v>12</v>
      </c>
      <c r="J167" s="43">
        <v>12</v>
      </c>
      <c r="K167" s="27">
        <f t="shared" si="5"/>
        <v>0</v>
      </c>
      <c r="L167" s="39"/>
      <c r="M167" s="39"/>
      <c r="N167" s="40"/>
      <c r="O167" s="27">
        <f t="shared" si="6"/>
        <v>0</v>
      </c>
      <c r="P167" s="39"/>
      <c r="Q167" s="39"/>
      <c r="R167" s="20"/>
    </row>
    <row r="168" spans="1:18" s="28" customFormat="1" ht="15" customHeight="1">
      <c r="A168" s="24"/>
      <c r="B168" s="23" t="s">
        <v>302</v>
      </c>
      <c r="C168" s="24" t="s">
        <v>18</v>
      </c>
      <c r="D168" s="23"/>
      <c r="E168" s="23" t="s">
        <v>19</v>
      </c>
      <c r="F168" s="23" t="s">
        <v>348</v>
      </c>
      <c r="G168" s="23" t="s">
        <v>122</v>
      </c>
      <c r="H168" s="25">
        <v>21</v>
      </c>
      <c r="I168" s="1">
        <v>4</v>
      </c>
      <c r="J168" s="26">
        <v>4</v>
      </c>
      <c r="K168" s="27">
        <f t="shared" si="5"/>
        <v>7752.8</v>
      </c>
      <c r="L168" s="27">
        <v>7752.8</v>
      </c>
      <c r="M168" s="27"/>
      <c r="N168" s="1"/>
      <c r="O168" s="27">
        <f t="shared" si="6"/>
        <v>0</v>
      </c>
      <c r="P168" s="27"/>
      <c r="Q168" s="27"/>
      <c r="R168" s="31"/>
    </row>
    <row r="169" spans="1:18" s="28" customFormat="1" ht="15" customHeight="1">
      <c r="A169" s="24">
        <v>86</v>
      </c>
      <c r="B169" s="23" t="s">
        <v>328</v>
      </c>
      <c r="C169" s="24" t="s">
        <v>18</v>
      </c>
      <c r="D169" s="23"/>
      <c r="E169" s="23" t="s">
        <v>19</v>
      </c>
      <c r="F169" s="23" t="s">
        <v>347</v>
      </c>
      <c r="G169" s="23" t="s">
        <v>122</v>
      </c>
      <c r="H169" s="25">
        <v>12</v>
      </c>
      <c r="I169" s="1">
        <v>1</v>
      </c>
      <c r="J169" s="26">
        <v>1</v>
      </c>
      <c r="K169" s="27">
        <f t="shared" si="5"/>
        <v>1585.8</v>
      </c>
      <c r="L169" s="27">
        <v>1585.8</v>
      </c>
      <c r="M169" s="27"/>
      <c r="N169" s="1"/>
      <c r="O169" s="27">
        <f t="shared" si="6"/>
        <v>0</v>
      </c>
      <c r="P169" s="27"/>
      <c r="Q169" s="27"/>
      <c r="R169" s="31"/>
    </row>
    <row r="170" spans="1:18" ht="15" customHeight="1">
      <c r="A170" s="24">
        <v>87</v>
      </c>
      <c r="B170" s="23" t="s">
        <v>314</v>
      </c>
      <c r="C170" s="24" t="s">
        <v>18</v>
      </c>
      <c r="D170" s="23"/>
      <c r="E170" s="23" t="s">
        <v>460</v>
      </c>
      <c r="F170" s="23" t="s">
        <v>435</v>
      </c>
      <c r="G170" s="23" t="s">
        <v>142</v>
      </c>
      <c r="H170" s="25">
        <v>5</v>
      </c>
      <c r="I170" s="1">
        <v>1</v>
      </c>
      <c r="J170" s="26">
        <v>1</v>
      </c>
      <c r="K170" s="27">
        <f t="shared" si="5"/>
        <v>0</v>
      </c>
      <c r="L170" s="27"/>
      <c r="M170" s="27"/>
      <c r="N170" s="1"/>
      <c r="O170" s="27">
        <f t="shared" si="6"/>
        <v>0</v>
      </c>
      <c r="P170" s="27"/>
      <c r="Q170" s="27"/>
      <c r="R170" s="20"/>
    </row>
    <row r="171" spans="1:18" s="28" customFormat="1" ht="15" customHeight="1">
      <c r="A171" s="41"/>
      <c r="B171" s="37" t="s">
        <v>314</v>
      </c>
      <c r="C171" s="41" t="s">
        <v>18</v>
      </c>
      <c r="D171" s="37"/>
      <c r="E171" s="37" t="s">
        <v>460</v>
      </c>
      <c r="F171" s="37" t="s">
        <v>474</v>
      </c>
      <c r="G171" s="37" t="s">
        <v>131</v>
      </c>
      <c r="H171" s="42">
        <v>2</v>
      </c>
      <c r="I171" s="40"/>
      <c r="J171" s="43"/>
      <c r="K171" s="27">
        <f t="shared" si="5"/>
        <v>0</v>
      </c>
      <c r="L171" s="39"/>
      <c r="M171" s="39"/>
      <c r="N171" s="40"/>
      <c r="O171" s="27">
        <f t="shared" si="6"/>
        <v>0</v>
      </c>
      <c r="P171" s="39"/>
      <c r="Q171" s="39"/>
      <c r="R171" s="31"/>
    </row>
    <row r="172" spans="1:18" s="28" customFormat="1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465</v>
      </c>
      <c r="G172" s="23" t="s">
        <v>136</v>
      </c>
      <c r="H172" s="25">
        <v>31</v>
      </c>
      <c r="I172" s="1">
        <v>1</v>
      </c>
      <c r="J172" s="26">
        <v>1</v>
      </c>
      <c r="K172" s="27">
        <f t="shared" si="5"/>
        <v>1938.2</v>
      </c>
      <c r="L172" s="27">
        <v>1938.2</v>
      </c>
      <c r="M172" s="27"/>
      <c r="N172" s="1"/>
      <c r="O172" s="27">
        <f t="shared" si="6"/>
        <v>0</v>
      </c>
      <c r="P172" s="27"/>
      <c r="Q172" s="27"/>
      <c r="R172" s="31"/>
    </row>
    <row r="173" spans="1:18" s="28" customFormat="1" ht="15" customHeight="1">
      <c r="A173" s="24">
        <v>88</v>
      </c>
      <c r="B173" s="23" t="s">
        <v>330</v>
      </c>
      <c r="C173" s="24" t="s">
        <v>18</v>
      </c>
      <c r="D173" s="23"/>
      <c r="E173" s="23" t="s">
        <v>104</v>
      </c>
      <c r="F173" s="23" t="s">
        <v>341</v>
      </c>
      <c r="G173" s="23" t="s">
        <v>131</v>
      </c>
      <c r="H173" s="25">
        <v>12</v>
      </c>
      <c r="I173" s="1">
        <v>9</v>
      </c>
      <c r="J173" s="26">
        <v>9</v>
      </c>
      <c r="K173" s="27">
        <f t="shared" si="5"/>
        <v>17377.599999999999</v>
      </c>
      <c r="L173" s="27">
        <v>17377.599999999999</v>
      </c>
      <c r="M173" s="27"/>
      <c r="N173" s="1"/>
      <c r="O173" s="27">
        <f t="shared" si="6"/>
        <v>0</v>
      </c>
      <c r="P173" s="27"/>
      <c r="Q173" s="27"/>
      <c r="R173" s="31"/>
    </row>
    <row r="174" spans="1:18" s="28" customFormat="1" ht="15" customHeight="1">
      <c r="A174" s="24"/>
      <c r="B174" s="23" t="s">
        <v>330</v>
      </c>
      <c r="C174" s="24" t="s">
        <v>18</v>
      </c>
      <c r="D174" s="23"/>
      <c r="E174" s="23" t="s">
        <v>19</v>
      </c>
      <c r="F174" s="23" t="s">
        <v>346</v>
      </c>
      <c r="G174" s="23" t="s">
        <v>122</v>
      </c>
      <c r="H174" s="25">
        <v>11</v>
      </c>
      <c r="I174" s="1">
        <v>3</v>
      </c>
      <c r="J174" s="26">
        <v>3</v>
      </c>
      <c r="K174" s="27">
        <f t="shared" si="5"/>
        <v>7979.15</v>
      </c>
      <c r="L174" s="27">
        <v>7979.15</v>
      </c>
      <c r="M174" s="27"/>
      <c r="N174" s="1"/>
      <c r="O174" s="27">
        <f t="shared" si="6"/>
        <v>0</v>
      </c>
      <c r="P174" s="27"/>
      <c r="Q174" s="27"/>
      <c r="R174" s="31"/>
    </row>
    <row r="175" spans="1:18" ht="24.75" customHeight="1">
      <c r="A175" s="29">
        <v>89</v>
      </c>
      <c r="B175" s="30" t="s">
        <v>105</v>
      </c>
      <c r="C175" s="29" t="s">
        <v>30</v>
      </c>
      <c r="D175" s="30" t="s">
        <v>106</v>
      </c>
      <c r="E175" s="30" t="s">
        <v>19</v>
      </c>
      <c r="F175" s="30" t="s">
        <v>436</v>
      </c>
      <c r="G175" s="30" t="s">
        <v>142</v>
      </c>
      <c r="H175" s="25">
        <v>15</v>
      </c>
      <c r="I175" s="1"/>
      <c r="J175" s="26"/>
      <c r="K175" s="27">
        <f t="shared" si="5"/>
        <v>0</v>
      </c>
      <c r="L175" s="27"/>
      <c r="M175" s="27"/>
      <c r="N175" s="1"/>
      <c r="O175" s="27">
        <f t="shared" si="6"/>
        <v>23296.730000000003</v>
      </c>
      <c r="P175" s="27">
        <v>23296.730000000003</v>
      </c>
      <c r="Q175" s="27"/>
      <c r="R175" s="20"/>
    </row>
    <row r="176" spans="1:18" ht="24.75" customHeight="1">
      <c r="A176" s="29">
        <v>90</v>
      </c>
      <c r="B176" s="30" t="s">
        <v>315</v>
      </c>
      <c r="C176" s="29" t="s">
        <v>18</v>
      </c>
      <c r="D176" s="30"/>
      <c r="E176" s="30" t="s">
        <v>19</v>
      </c>
      <c r="F176" s="30" t="s">
        <v>437</v>
      </c>
      <c r="G176" s="30" t="s">
        <v>142</v>
      </c>
      <c r="H176" s="25">
        <v>12</v>
      </c>
      <c r="I176" s="1">
        <v>10</v>
      </c>
      <c r="J176" s="26">
        <v>12</v>
      </c>
      <c r="K176" s="27">
        <f t="shared" si="5"/>
        <v>0</v>
      </c>
      <c r="L176" s="27"/>
      <c r="M176" s="27"/>
      <c r="N176" s="1"/>
      <c r="O176" s="27">
        <f t="shared" si="6"/>
        <v>0</v>
      </c>
      <c r="P176" s="27"/>
      <c r="Q176" s="27"/>
      <c r="R176" s="20"/>
    </row>
    <row r="177" spans="1:38" s="28" customFormat="1" ht="24.75" customHeight="1">
      <c r="A177" s="29"/>
      <c r="B177" s="30" t="s">
        <v>315</v>
      </c>
      <c r="C177" s="29" t="s">
        <v>18</v>
      </c>
      <c r="D177" s="30"/>
      <c r="E177" s="30" t="s">
        <v>322</v>
      </c>
      <c r="F177" s="30" t="s">
        <v>323</v>
      </c>
      <c r="G177" s="30" t="s">
        <v>124</v>
      </c>
      <c r="H177" s="25">
        <v>7</v>
      </c>
      <c r="I177" s="1"/>
      <c r="J177" s="26"/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31"/>
    </row>
    <row r="178" spans="1:38" s="7" customFormat="1" ht="38.450000000000003" customHeight="1">
      <c r="A178" s="29">
        <v>91</v>
      </c>
      <c r="B178" s="30" t="s">
        <v>265</v>
      </c>
      <c r="C178" s="29" t="s">
        <v>18</v>
      </c>
      <c r="D178" s="30"/>
      <c r="E178" s="30" t="s">
        <v>19</v>
      </c>
      <c r="F178" s="30" t="s">
        <v>123</v>
      </c>
      <c r="G178" s="30" t="s">
        <v>142</v>
      </c>
      <c r="H178" s="25">
        <v>0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s="7" customFormat="1" ht="38.450000000000003" customHeight="1">
      <c r="A179" s="24">
        <v>92</v>
      </c>
      <c r="B179" s="23" t="s">
        <v>107</v>
      </c>
      <c r="C179" s="24" t="s">
        <v>18</v>
      </c>
      <c r="D179" s="23"/>
      <c r="E179" s="23" t="s">
        <v>41</v>
      </c>
      <c r="F179" s="30" t="s">
        <v>438</v>
      </c>
      <c r="G179" s="23" t="s">
        <v>142</v>
      </c>
      <c r="H179" s="25">
        <v>2</v>
      </c>
      <c r="I179" s="1">
        <v>1</v>
      </c>
      <c r="J179" s="44">
        <v>1</v>
      </c>
      <c r="K179" s="27">
        <f t="shared" si="5"/>
        <v>0</v>
      </c>
      <c r="L179" s="27"/>
      <c r="M179" s="27"/>
      <c r="N179" s="1">
        <v>6</v>
      </c>
      <c r="O179" s="27">
        <f t="shared" si="6"/>
        <v>9570.130000000001</v>
      </c>
      <c r="P179" s="27">
        <f>1221.57+1977.23+6371.33</f>
        <v>9570.130000000001</v>
      </c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28" customFormat="1" ht="15.75" customHeight="1">
      <c r="A180" s="24"/>
      <c r="B180" s="23" t="s">
        <v>107</v>
      </c>
      <c r="C180" s="24" t="s">
        <v>18</v>
      </c>
      <c r="D180" s="23"/>
      <c r="E180" s="23" t="s">
        <v>41</v>
      </c>
      <c r="F180" s="23" t="s">
        <v>464</v>
      </c>
      <c r="G180" s="23" t="s">
        <v>136</v>
      </c>
      <c r="H180" s="25">
        <v>14</v>
      </c>
      <c r="I180" s="2">
        <v>7</v>
      </c>
      <c r="J180" s="26">
        <v>7</v>
      </c>
      <c r="K180" s="27">
        <f t="shared" si="5"/>
        <v>16959.580000000002</v>
      </c>
      <c r="L180" s="27">
        <v>16959.580000000002</v>
      </c>
      <c r="M180" s="27"/>
      <c r="N180" s="2">
        <v>19</v>
      </c>
      <c r="O180" s="27">
        <f t="shared" si="6"/>
        <v>31810.799999999999</v>
      </c>
      <c r="P180" s="27">
        <v>31810.799999999999</v>
      </c>
      <c r="Q180" s="27"/>
      <c r="R180" s="31"/>
    </row>
    <row r="181" spans="1:38" ht="16.5" customHeight="1">
      <c r="A181" s="24">
        <v>93</v>
      </c>
      <c r="B181" s="23" t="s">
        <v>108</v>
      </c>
      <c r="C181" s="24" t="s">
        <v>18</v>
      </c>
      <c r="D181" s="23"/>
      <c r="E181" s="23" t="s">
        <v>19</v>
      </c>
      <c r="F181" s="23" t="s">
        <v>439</v>
      </c>
      <c r="G181" s="23" t="s">
        <v>142</v>
      </c>
      <c r="H181" s="25">
        <v>48</v>
      </c>
      <c r="I181" s="1">
        <v>41</v>
      </c>
      <c r="J181" s="26">
        <v>41</v>
      </c>
      <c r="K181" s="27">
        <f t="shared" si="5"/>
        <v>18249.71</v>
      </c>
      <c r="L181" s="27">
        <v>18249.71</v>
      </c>
      <c r="M181" s="27"/>
      <c r="N181" s="1">
        <v>7</v>
      </c>
      <c r="O181" s="27">
        <f t="shared" si="6"/>
        <v>106471.7</v>
      </c>
      <c r="P181" s="27">
        <v>106471.7</v>
      </c>
      <c r="Q181" s="27"/>
      <c r="R181" s="20"/>
    </row>
    <row r="182" spans="1:38" s="28" customFormat="1" ht="16.5" customHeight="1">
      <c r="A182" s="24"/>
      <c r="B182" s="23" t="s">
        <v>108</v>
      </c>
      <c r="C182" s="24" t="s">
        <v>18</v>
      </c>
      <c r="D182" s="23"/>
      <c r="E182" s="23" t="s">
        <v>19</v>
      </c>
      <c r="F182" s="23" t="s">
        <v>345</v>
      </c>
      <c r="G182" s="23" t="s">
        <v>122</v>
      </c>
      <c r="H182" s="25">
        <v>17</v>
      </c>
      <c r="I182" s="1">
        <v>6</v>
      </c>
      <c r="J182" s="26">
        <v>6</v>
      </c>
      <c r="K182" s="27">
        <f t="shared" si="5"/>
        <v>4786.6000000000004</v>
      </c>
      <c r="L182" s="27">
        <v>4786.6000000000004</v>
      </c>
      <c r="M182" s="27"/>
      <c r="N182" s="1">
        <v>7</v>
      </c>
      <c r="O182" s="27">
        <f t="shared" si="6"/>
        <v>14216.32</v>
      </c>
      <c r="P182" s="27">
        <v>14216.32</v>
      </c>
      <c r="Q182" s="27"/>
      <c r="R182" s="31"/>
    </row>
    <row r="183" spans="1:38" s="7" customFormat="1" ht="16.5" customHeight="1">
      <c r="A183" s="24">
        <v>94</v>
      </c>
      <c r="B183" s="23" t="s">
        <v>146</v>
      </c>
      <c r="C183" s="24" t="s">
        <v>18</v>
      </c>
      <c r="D183" s="23"/>
      <c r="E183" s="23" t="s">
        <v>104</v>
      </c>
      <c r="F183" s="23" t="s">
        <v>475</v>
      </c>
      <c r="G183" s="23" t="s">
        <v>142</v>
      </c>
      <c r="H183" s="25">
        <v>36</v>
      </c>
      <c r="I183" s="1">
        <v>23</v>
      </c>
      <c r="J183" s="26">
        <v>23</v>
      </c>
      <c r="K183" s="27">
        <f t="shared" si="5"/>
        <v>0</v>
      </c>
      <c r="L183" s="27"/>
      <c r="M183" s="27"/>
      <c r="N183" s="1">
        <v>4</v>
      </c>
      <c r="O183" s="27">
        <f t="shared" si="6"/>
        <v>16604.21</v>
      </c>
      <c r="P183" s="27">
        <f>14026.97+2577.24</f>
        <v>16604.21</v>
      </c>
      <c r="Q183" s="27"/>
      <c r="R183" s="20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3.45" customHeight="1">
      <c r="A184" s="29">
        <v>95</v>
      </c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440</v>
      </c>
      <c r="G184" s="30" t="s">
        <v>142</v>
      </c>
      <c r="H184" s="25">
        <v>62</v>
      </c>
      <c r="I184" s="1">
        <v>56</v>
      </c>
      <c r="J184" s="26">
        <v>56</v>
      </c>
      <c r="K184" s="27">
        <f t="shared" si="5"/>
        <v>11917.66</v>
      </c>
      <c r="L184" s="27">
        <v>11917.66</v>
      </c>
      <c r="M184" s="27"/>
      <c r="N184" s="1">
        <v>18</v>
      </c>
      <c r="O184" s="27">
        <f t="shared" si="6"/>
        <v>98283.26</v>
      </c>
      <c r="P184" s="27">
        <v>98283.26</v>
      </c>
      <c r="Q184" s="27"/>
      <c r="R184" s="20"/>
    </row>
    <row r="185" spans="1:38" s="28" customFormat="1" ht="27" customHeight="1">
      <c r="A185" s="29"/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344</v>
      </c>
      <c r="G185" s="30" t="s">
        <v>122</v>
      </c>
      <c r="H185" s="25">
        <v>34</v>
      </c>
      <c r="I185" s="1">
        <v>9</v>
      </c>
      <c r="J185" s="44">
        <v>9</v>
      </c>
      <c r="K185" s="27">
        <f t="shared" si="5"/>
        <v>20645.599999999999</v>
      </c>
      <c r="L185" s="27">
        <v>20645.599999999999</v>
      </c>
      <c r="M185" s="27"/>
      <c r="N185" s="1">
        <v>17</v>
      </c>
      <c r="O185" s="27">
        <f t="shared" si="6"/>
        <v>30487.919999999998</v>
      </c>
      <c r="P185" s="27">
        <v>30487.919999999998</v>
      </c>
      <c r="Q185" s="27"/>
      <c r="R185" s="31"/>
    </row>
    <row r="186" spans="1:38" ht="27.75" customHeight="1">
      <c r="A186" s="24">
        <v>96</v>
      </c>
      <c r="B186" s="23" t="s">
        <v>111</v>
      </c>
      <c r="C186" s="24" t="s">
        <v>18</v>
      </c>
      <c r="D186" s="23"/>
      <c r="E186" s="23" t="s">
        <v>112</v>
      </c>
      <c r="F186" s="23" t="s">
        <v>441</v>
      </c>
      <c r="G186" s="23" t="s">
        <v>142</v>
      </c>
      <c r="H186" s="25">
        <v>9</v>
      </c>
      <c r="I186" s="1">
        <v>6</v>
      </c>
      <c r="J186" s="26">
        <v>6</v>
      </c>
      <c r="K186" s="27">
        <f t="shared" si="5"/>
        <v>0</v>
      </c>
      <c r="L186" s="27"/>
      <c r="M186" s="27"/>
      <c r="N186" s="1">
        <v>9</v>
      </c>
      <c r="O186" s="27">
        <f t="shared" si="6"/>
        <v>27541.74</v>
      </c>
      <c r="P186" s="27">
        <v>27541.74</v>
      </c>
      <c r="Q186" s="27"/>
      <c r="R186" s="20"/>
    </row>
    <row r="187" spans="1:38" s="28" customFormat="1" ht="16.5" customHeight="1">
      <c r="A187" s="24"/>
      <c r="B187" s="23" t="s">
        <v>111</v>
      </c>
      <c r="C187" s="24" t="s">
        <v>18</v>
      </c>
      <c r="D187" s="23"/>
      <c r="E187" s="23" t="s">
        <v>112</v>
      </c>
      <c r="F187" s="23" t="s">
        <v>466</v>
      </c>
      <c r="G187" s="23" t="s">
        <v>136</v>
      </c>
      <c r="H187" s="25">
        <v>10</v>
      </c>
      <c r="I187" s="2"/>
      <c r="J187" s="26"/>
      <c r="K187" s="27">
        <f t="shared" si="5"/>
        <v>881</v>
      </c>
      <c r="L187" s="27">
        <v>881</v>
      </c>
      <c r="M187" s="27"/>
      <c r="N187" s="2">
        <v>3</v>
      </c>
      <c r="O187" s="27">
        <f t="shared" si="6"/>
        <v>1991.2</v>
      </c>
      <c r="P187" s="27">
        <v>1991.2</v>
      </c>
      <c r="Q187" s="27"/>
      <c r="R187" s="31"/>
    </row>
    <row r="188" spans="1:38" s="28" customFormat="1" ht="16.5" customHeight="1">
      <c r="A188" s="41">
        <v>97</v>
      </c>
      <c r="B188" s="37" t="s">
        <v>482</v>
      </c>
      <c r="C188" s="41" t="s">
        <v>18</v>
      </c>
      <c r="D188" s="37"/>
      <c r="E188" s="37" t="s">
        <v>104</v>
      </c>
      <c r="F188" s="37" t="s">
        <v>483</v>
      </c>
      <c r="G188" s="37" t="s">
        <v>122</v>
      </c>
      <c r="H188" s="42">
        <v>9</v>
      </c>
      <c r="I188" s="38">
        <v>2</v>
      </c>
      <c r="J188" s="43">
        <v>2</v>
      </c>
      <c r="K188" s="27">
        <f t="shared" si="5"/>
        <v>552.29999999999995</v>
      </c>
      <c r="L188" s="39">
        <v>552.29999999999995</v>
      </c>
      <c r="M188" s="39"/>
      <c r="N188" s="38"/>
      <c r="O188" s="27">
        <f t="shared" si="6"/>
        <v>0</v>
      </c>
      <c r="P188" s="39"/>
      <c r="Q188" s="39"/>
      <c r="R188" s="31"/>
    </row>
    <row r="189" spans="1:38" ht="16.5" customHeight="1">
      <c r="A189" s="24">
        <v>98</v>
      </c>
      <c r="B189" s="23" t="s">
        <v>113</v>
      </c>
      <c r="C189" s="24" t="s">
        <v>18</v>
      </c>
      <c r="D189" s="23"/>
      <c r="E189" s="23" t="s">
        <v>19</v>
      </c>
      <c r="F189" s="23" t="s">
        <v>120</v>
      </c>
      <c r="G189" s="23" t="s">
        <v>142</v>
      </c>
      <c r="H189" s="25">
        <v>0</v>
      </c>
      <c r="I189" s="1"/>
      <c r="J189" s="26"/>
      <c r="K189" s="27">
        <f t="shared" si="5"/>
        <v>0</v>
      </c>
      <c r="L189" s="27"/>
      <c r="M189" s="27"/>
      <c r="N189" s="1">
        <v>3</v>
      </c>
      <c r="O189" s="27">
        <f t="shared" si="6"/>
        <v>4713.3500000000004</v>
      </c>
      <c r="P189" s="27">
        <f>660.75+4052.6</f>
        <v>4713.3500000000004</v>
      </c>
      <c r="Q189" s="27"/>
      <c r="R189" s="20"/>
    </row>
    <row r="190" spans="1:38" s="28" customFormat="1" ht="18.75" customHeight="1">
      <c r="A190" s="24"/>
      <c r="B190" s="23" t="s">
        <v>113</v>
      </c>
      <c r="C190" s="24" t="s">
        <v>18</v>
      </c>
      <c r="D190" s="23"/>
      <c r="E190" s="23" t="s">
        <v>19</v>
      </c>
      <c r="F190" s="23" t="s">
        <v>469</v>
      </c>
      <c r="G190" s="23" t="s">
        <v>122</v>
      </c>
      <c r="H190" s="25">
        <v>31</v>
      </c>
      <c r="I190" s="1">
        <v>4</v>
      </c>
      <c r="J190" s="26">
        <v>4</v>
      </c>
      <c r="K190" s="27">
        <f t="shared" si="5"/>
        <v>21623.34</v>
      </c>
      <c r="L190" s="27">
        <v>21623.34</v>
      </c>
      <c r="M190" s="27"/>
      <c r="N190" s="1">
        <v>18</v>
      </c>
      <c r="O190" s="27">
        <f t="shared" si="6"/>
        <v>87493.26</v>
      </c>
      <c r="P190" s="27">
        <v>87493.26</v>
      </c>
      <c r="Q190" s="27"/>
      <c r="R190" s="31"/>
    </row>
    <row r="191" spans="1:38" ht="20.25" customHeight="1">
      <c r="A191" s="24">
        <v>99</v>
      </c>
      <c r="B191" s="23" t="s">
        <v>114</v>
      </c>
      <c r="C191" s="24" t="s">
        <v>18</v>
      </c>
      <c r="D191" s="23"/>
      <c r="E191" s="23" t="s">
        <v>41</v>
      </c>
      <c r="F191" s="23" t="s">
        <v>443</v>
      </c>
      <c r="G191" s="23" t="s">
        <v>142</v>
      </c>
      <c r="H191" s="25">
        <v>10</v>
      </c>
      <c r="I191" s="1">
        <v>5</v>
      </c>
      <c r="J191" s="26">
        <v>6</v>
      </c>
      <c r="K191" s="27">
        <f t="shared" si="5"/>
        <v>3161.03</v>
      </c>
      <c r="L191" s="27">
        <v>3161.03</v>
      </c>
      <c r="M191" s="27"/>
      <c r="N191" s="1">
        <v>4</v>
      </c>
      <c r="O191" s="27">
        <f t="shared" si="6"/>
        <v>15866.6</v>
      </c>
      <c r="P191" s="27">
        <f>12416.6+3450</f>
        <v>15866.6</v>
      </c>
      <c r="Q191" s="27"/>
      <c r="R191" s="20"/>
    </row>
    <row r="192" spans="1:38" s="28" customFormat="1" ht="16.899999999999999" customHeight="1">
      <c r="A192" s="24"/>
      <c r="B192" s="23" t="s">
        <v>141</v>
      </c>
      <c r="C192" s="24" t="s">
        <v>18</v>
      </c>
      <c r="D192" s="23"/>
      <c r="E192" s="23" t="s">
        <v>41</v>
      </c>
      <c r="F192" s="23" t="s">
        <v>368</v>
      </c>
      <c r="G192" s="23" t="s">
        <v>136</v>
      </c>
      <c r="H192" s="25">
        <v>12</v>
      </c>
      <c r="I192" s="2">
        <v>3</v>
      </c>
      <c r="J192" s="26">
        <v>3</v>
      </c>
      <c r="K192" s="27">
        <f t="shared" si="5"/>
        <v>12686.4</v>
      </c>
      <c r="L192" s="27">
        <v>12686.4</v>
      </c>
      <c r="M192" s="27"/>
      <c r="N192" s="2">
        <v>6</v>
      </c>
      <c r="O192" s="27">
        <f t="shared" si="6"/>
        <v>29073</v>
      </c>
      <c r="P192" s="27">
        <v>29073</v>
      </c>
      <c r="Q192" s="27"/>
      <c r="R192" s="31"/>
    </row>
    <row r="193" spans="1:44" ht="16.899999999999999" customHeight="1">
      <c r="A193" s="24">
        <v>100</v>
      </c>
      <c r="B193" s="23" t="s">
        <v>309</v>
      </c>
      <c r="C193" s="24" t="s">
        <v>18</v>
      </c>
      <c r="D193" s="23"/>
      <c r="E193" s="23" t="s">
        <v>19</v>
      </c>
      <c r="F193" s="23" t="s">
        <v>442</v>
      </c>
      <c r="G193" s="23" t="s">
        <v>142</v>
      </c>
      <c r="H193" s="25">
        <v>31</v>
      </c>
      <c r="I193" s="2">
        <v>25</v>
      </c>
      <c r="J193" s="26">
        <v>26</v>
      </c>
      <c r="K193" s="27">
        <f t="shared" si="5"/>
        <v>23580.67</v>
      </c>
      <c r="L193" s="27">
        <v>23580.67</v>
      </c>
      <c r="M193" s="27"/>
      <c r="N193" s="2"/>
      <c r="O193" s="27">
        <f t="shared" si="6"/>
        <v>0</v>
      </c>
      <c r="P193" s="27"/>
      <c r="Q193" s="27"/>
      <c r="R193" s="20"/>
    </row>
    <row r="194" spans="1:44" s="28" customFormat="1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343</v>
      </c>
      <c r="G194" s="23" t="s">
        <v>122</v>
      </c>
      <c r="H194" s="25">
        <v>8</v>
      </c>
      <c r="I194" s="2">
        <v>2</v>
      </c>
      <c r="J194" s="26">
        <v>2</v>
      </c>
      <c r="K194" s="27">
        <f t="shared" si="5"/>
        <v>1233.4000000000001</v>
      </c>
      <c r="L194" s="27">
        <v>1233.4000000000001</v>
      </c>
      <c r="M194" s="27"/>
      <c r="N194" s="2"/>
      <c r="O194" s="27">
        <f t="shared" si="6"/>
        <v>0</v>
      </c>
      <c r="P194" s="27"/>
      <c r="Q194" s="27"/>
      <c r="R194" s="31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324</v>
      </c>
      <c r="G195" s="23" t="s">
        <v>124</v>
      </c>
      <c r="H195" s="25">
        <v>1</v>
      </c>
      <c r="I195" s="2"/>
      <c r="J195" s="26"/>
      <c r="K195" s="27">
        <f t="shared" si="5"/>
        <v>0</v>
      </c>
      <c r="L195" s="27"/>
      <c r="M195" s="27"/>
      <c r="N195" s="2"/>
      <c r="O195" s="27">
        <f t="shared" si="6"/>
        <v>0</v>
      </c>
      <c r="P195" s="27"/>
      <c r="Q195" s="27"/>
      <c r="R195" s="31"/>
    </row>
    <row r="196" spans="1:44" ht="24.6" customHeight="1">
      <c r="A196" s="29">
        <v>101</v>
      </c>
      <c r="B196" s="30" t="s">
        <v>115</v>
      </c>
      <c r="C196" s="29" t="s">
        <v>52</v>
      </c>
      <c r="D196" s="30" t="s">
        <v>110</v>
      </c>
      <c r="E196" s="30" t="s">
        <v>19</v>
      </c>
      <c r="F196" s="30"/>
      <c r="G196" s="30" t="s">
        <v>142</v>
      </c>
      <c r="H196" s="25">
        <v>0</v>
      </c>
      <c r="I196" s="1"/>
      <c r="J196" s="26"/>
      <c r="K196" s="27">
        <f t="shared" si="5"/>
        <v>0</v>
      </c>
      <c r="L196" s="27"/>
      <c r="M196" s="27"/>
      <c r="N196" s="1">
        <v>1</v>
      </c>
      <c r="O196" s="27">
        <f t="shared" si="6"/>
        <v>0</v>
      </c>
      <c r="P196" s="27"/>
      <c r="Q196" s="27"/>
      <c r="R196" s="20"/>
    </row>
    <row r="197" spans="1:44" s="28" customFormat="1" ht="32.25" customHeight="1">
      <c r="A197" s="29"/>
      <c r="B197" s="30" t="s">
        <v>115</v>
      </c>
      <c r="C197" s="29" t="s">
        <v>52</v>
      </c>
      <c r="D197" s="30" t="s">
        <v>110</v>
      </c>
      <c r="E197" s="30" t="s">
        <v>19</v>
      </c>
      <c r="F197" s="30" t="s">
        <v>292</v>
      </c>
      <c r="G197" s="30" t="s">
        <v>122</v>
      </c>
      <c r="H197" s="25">
        <v>0</v>
      </c>
      <c r="I197" s="1"/>
      <c r="J197" s="44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31"/>
    </row>
    <row r="198" spans="1:44" ht="34.9" customHeight="1">
      <c r="A198" s="29">
        <v>102</v>
      </c>
      <c r="B198" s="30" t="s">
        <v>116</v>
      </c>
      <c r="C198" s="29" t="s">
        <v>52</v>
      </c>
      <c r="D198" s="30" t="s">
        <v>117</v>
      </c>
      <c r="E198" s="30" t="s">
        <v>19</v>
      </c>
      <c r="F198" s="30" t="s">
        <v>444</v>
      </c>
      <c r="G198" s="30" t="s">
        <v>142</v>
      </c>
      <c r="H198" s="25">
        <v>44</v>
      </c>
      <c r="I198" s="1">
        <v>31</v>
      </c>
      <c r="J198" s="44">
        <v>32</v>
      </c>
      <c r="K198" s="27">
        <f t="shared" si="5"/>
        <v>39374.14</v>
      </c>
      <c r="L198" s="27">
        <v>39374.14</v>
      </c>
      <c r="M198" s="27"/>
      <c r="N198" s="1">
        <v>5</v>
      </c>
      <c r="O198" s="27">
        <f t="shared" si="6"/>
        <v>26089.42</v>
      </c>
      <c r="P198" s="27">
        <f>23453.46+1317.98+1317.98</f>
        <v>26089.42</v>
      </c>
      <c r="Q198" s="27"/>
      <c r="R198" s="20"/>
    </row>
    <row r="199" spans="1:44" ht="28.5" customHeight="1">
      <c r="A199" s="29">
        <v>103</v>
      </c>
      <c r="B199" s="30" t="s">
        <v>209</v>
      </c>
      <c r="C199" s="29" t="s">
        <v>18</v>
      </c>
      <c r="D199" s="30"/>
      <c r="E199" s="30" t="s">
        <v>19</v>
      </c>
      <c r="F199" s="30" t="s">
        <v>123</v>
      </c>
      <c r="G199" s="30" t="s">
        <v>142</v>
      </c>
      <c r="H199" s="25">
        <v>0</v>
      </c>
      <c r="I199" s="1"/>
      <c r="J199" s="44"/>
      <c r="K199" s="27">
        <f t="shared" si="5"/>
        <v>0</v>
      </c>
      <c r="L199" s="27"/>
      <c r="M199" s="27"/>
      <c r="N199" s="1"/>
      <c r="O199" s="27">
        <f t="shared" si="6"/>
        <v>0</v>
      </c>
      <c r="P199" s="27"/>
      <c r="Q199" s="27"/>
      <c r="R199" s="20"/>
    </row>
    <row r="200" spans="1:44" ht="19.5" customHeight="1">
      <c r="A200" s="29">
        <v>104</v>
      </c>
      <c r="B200" s="30" t="s">
        <v>118</v>
      </c>
      <c r="C200" s="29" t="s">
        <v>18</v>
      </c>
      <c r="D200" s="30"/>
      <c r="E200" s="30" t="s">
        <v>41</v>
      </c>
      <c r="F200" s="30" t="s">
        <v>445</v>
      </c>
      <c r="G200" s="30" t="s">
        <v>142</v>
      </c>
      <c r="H200" s="25">
        <v>26</v>
      </c>
      <c r="I200" s="1">
        <v>14</v>
      </c>
      <c r="J200" s="44">
        <v>15</v>
      </c>
      <c r="K200" s="27">
        <f t="shared" si="5"/>
        <v>10009.780000000001</v>
      </c>
      <c r="L200" s="27">
        <v>10009.780000000001</v>
      </c>
      <c r="M200" s="27"/>
      <c r="N200" s="1">
        <v>25</v>
      </c>
      <c r="O200" s="27">
        <f t="shared" si="6"/>
        <v>36017.589999999997</v>
      </c>
      <c r="P200" s="27">
        <f>33365.57+2652.02</f>
        <v>36017.589999999997</v>
      </c>
      <c r="Q200" s="27"/>
      <c r="R200" s="20"/>
    </row>
    <row r="201" spans="1:44" s="28" customFormat="1" ht="30.6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298</v>
      </c>
      <c r="G201" s="23" t="s">
        <v>124</v>
      </c>
      <c r="H201" s="25">
        <v>0</v>
      </c>
      <c r="I201" s="1"/>
      <c r="J201" s="44"/>
      <c r="K201" s="27">
        <f t="shared" si="5"/>
        <v>0</v>
      </c>
      <c r="L201" s="27"/>
      <c r="M201" s="27"/>
      <c r="N201" s="1">
        <v>1</v>
      </c>
      <c r="O201" s="27">
        <f t="shared" si="6"/>
        <v>5462.2</v>
      </c>
      <c r="P201" s="27">
        <v>5462.2</v>
      </c>
      <c r="Q201" s="27"/>
      <c r="R201" s="31"/>
    </row>
    <row r="202" spans="1:44" s="28" customFormat="1" ht="27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123</v>
      </c>
      <c r="G202" s="23" t="s">
        <v>136</v>
      </c>
      <c r="H202" s="25">
        <v>0</v>
      </c>
      <c r="I202" s="2"/>
      <c r="J202" s="26"/>
      <c r="K202" s="27">
        <f t="shared" si="5"/>
        <v>0</v>
      </c>
      <c r="L202" s="27"/>
      <c r="M202" s="27"/>
      <c r="N202" s="2"/>
      <c r="O202" s="27">
        <f t="shared" si="6"/>
        <v>0</v>
      </c>
      <c r="P202" s="27"/>
      <c r="Q202" s="27"/>
      <c r="R202" s="31"/>
    </row>
    <row r="203" spans="1:44" s="28" customFormat="1" ht="27" customHeight="1">
      <c r="A203" s="53">
        <v>105</v>
      </c>
      <c r="B203" s="54" t="s">
        <v>489</v>
      </c>
      <c r="C203" s="53" t="s">
        <v>18</v>
      </c>
      <c r="D203" s="54"/>
      <c r="E203" s="54" t="s">
        <v>50</v>
      </c>
      <c r="F203" s="54" t="s">
        <v>490</v>
      </c>
      <c r="G203" s="54" t="s">
        <v>124</v>
      </c>
      <c r="H203" s="55">
        <v>1</v>
      </c>
      <c r="I203" s="56"/>
      <c r="J203" s="57"/>
      <c r="K203" s="39"/>
      <c r="L203" s="58"/>
      <c r="M203" s="58"/>
      <c r="N203" s="56"/>
      <c r="O203" s="39"/>
      <c r="P203" s="58"/>
      <c r="Q203" s="58"/>
      <c r="R203" s="31"/>
    </row>
    <row r="204" spans="1:44" s="14" customFormat="1" ht="27" customHeight="1">
      <c r="A204" s="46">
        <v>106</v>
      </c>
      <c r="B204" s="60" t="s">
        <v>325</v>
      </c>
      <c r="C204" s="46" t="s">
        <v>18</v>
      </c>
      <c r="D204" s="60"/>
      <c r="E204" s="60" t="s">
        <v>36</v>
      </c>
      <c r="F204" s="60" t="s">
        <v>446</v>
      </c>
      <c r="G204" s="60" t="s">
        <v>142</v>
      </c>
      <c r="H204" s="61">
        <v>13</v>
      </c>
      <c r="I204" s="32">
        <v>6</v>
      </c>
      <c r="J204" s="86">
        <v>6</v>
      </c>
      <c r="K204" s="27">
        <f t="shared" ref="K204:K206" si="7">L204+M204</f>
        <v>0</v>
      </c>
      <c r="L204" s="63"/>
      <c r="M204" s="63"/>
      <c r="N204" s="32"/>
      <c r="O204" s="27">
        <f t="shared" ref="O204:O206" si="8">P204+Q204</f>
        <v>0</v>
      </c>
      <c r="P204" s="63"/>
      <c r="Q204" s="63"/>
      <c r="R204" s="20"/>
      <c r="AM204" s="4"/>
      <c r="AN204" s="4"/>
      <c r="AO204" s="4"/>
      <c r="AP204" s="4"/>
      <c r="AQ204" s="4"/>
      <c r="AR204" s="4"/>
    </row>
    <row r="205" spans="1:44" s="28" customFormat="1" ht="27" customHeight="1">
      <c r="A205" s="46"/>
      <c r="B205" s="23" t="s">
        <v>325</v>
      </c>
      <c r="C205" s="24" t="s">
        <v>18</v>
      </c>
      <c r="D205" s="23"/>
      <c r="E205" s="23" t="s">
        <v>36</v>
      </c>
      <c r="F205" s="23" t="s">
        <v>369</v>
      </c>
      <c r="G205" s="23" t="s">
        <v>124</v>
      </c>
      <c r="H205" s="25">
        <v>3</v>
      </c>
      <c r="I205" s="2"/>
      <c r="J205" s="26"/>
      <c r="K205" s="27">
        <f t="shared" si="7"/>
        <v>0</v>
      </c>
      <c r="L205" s="27"/>
      <c r="M205" s="27"/>
      <c r="N205" s="2"/>
      <c r="O205" s="27">
        <f t="shared" si="8"/>
        <v>0</v>
      </c>
      <c r="P205" s="27"/>
      <c r="Q205" s="27"/>
      <c r="R205" s="31"/>
    </row>
    <row r="206" spans="1:44" s="28" customFormat="1" ht="18.75" customHeight="1" thickBot="1">
      <c r="A206" s="47"/>
      <c r="B206" s="48" t="s">
        <v>325</v>
      </c>
      <c r="C206" s="49" t="s">
        <v>18</v>
      </c>
      <c r="D206" s="48"/>
      <c r="E206" s="48" t="s">
        <v>370</v>
      </c>
      <c r="F206" s="48" t="s">
        <v>371</v>
      </c>
      <c r="G206" s="48" t="s">
        <v>136</v>
      </c>
      <c r="H206" s="50">
        <v>3</v>
      </c>
      <c r="I206" s="33"/>
      <c r="J206" s="51"/>
      <c r="K206" s="27">
        <f t="shared" si="7"/>
        <v>0</v>
      </c>
      <c r="L206" s="52"/>
      <c r="M206" s="52"/>
      <c r="N206" s="33"/>
      <c r="O206" s="27">
        <f t="shared" si="8"/>
        <v>0</v>
      </c>
      <c r="P206" s="52"/>
      <c r="Q206" s="52"/>
      <c r="R206" s="31"/>
    </row>
    <row r="207" spans="1:44" s="14" customFormat="1" ht="16.5" customHeight="1">
      <c r="A207" s="87" t="s">
        <v>145</v>
      </c>
      <c r="B207" s="87"/>
      <c r="C207" s="88"/>
      <c r="D207" s="89"/>
      <c r="E207" s="89"/>
      <c r="F207" s="89"/>
      <c r="G207" s="89"/>
      <c r="H207" s="88">
        <f>SUM(H10:H206)</f>
        <v>2743</v>
      </c>
      <c r="I207" s="88">
        <f>SUM(I10:I206)</f>
        <v>1314</v>
      </c>
      <c r="J207" s="88">
        <f>SUM(J10:J206)</f>
        <v>1426</v>
      </c>
      <c r="K207" s="90">
        <f>SUM(K10:K206)</f>
        <v>1172357.3499999996</v>
      </c>
      <c r="L207" s="90">
        <f t="shared" ref="L207:M207" si="9">SUM(L10:L206)</f>
        <v>1172357.3499999996</v>
      </c>
      <c r="M207" s="88">
        <f t="shared" si="9"/>
        <v>0</v>
      </c>
      <c r="N207" s="88">
        <f>SUM(N10:N206)</f>
        <v>1079</v>
      </c>
      <c r="O207" s="90">
        <f>SUM(O10:O206)</f>
        <v>2933053.9799999986</v>
      </c>
      <c r="P207" s="90">
        <f>SUM(P10:P206)</f>
        <v>2933053.9799999986</v>
      </c>
      <c r="Q207" s="90">
        <f>SUM(Q10:Q206)</f>
        <v>0</v>
      </c>
      <c r="R207" s="20"/>
      <c r="AM207" s="4"/>
      <c r="AN207" s="4"/>
      <c r="AO207" s="4"/>
      <c r="AP207" s="4"/>
      <c r="AQ207" s="4"/>
      <c r="AR207" s="4"/>
    </row>
    <row r="208" spans="1:44" s="14" customFormat="1" ht="15" customHeight="1">
      <c r="A208" s="5"/>
      <c r="B208" s="6"/>
      <c r="C208" s="5"/>
      <c r="D208" s="6"/>
      <c r="E208" s="6"/>
      <c r="F208" s="6"/>
      <c r="G208" s="6"/>
      <c r="H208" s="9"/>
      <c r="I208" s="9"/>
      <c r="J208" s="9"/>
      <c r="K208" s="9"/>
      <c r="L208" s="9"/>
      <c r="M208" s="11"/>
      <c r="N208" s="9"/>
      <c r="O208" s="9"/>
      <c r="P208" s="5"/>
      <c r="Q208" s="13"/>
      <c r="R208" s="20"/>
      <c r="AM208" s="4"/>
      <c r="AN208" s="4"/>
      <c r="AO208" s="4"/>
      <c r="AP208" s="4"/>
      <c r="AQ208" s="4"/>
      <c r="AR208" s="4"/>
    </row>
    <row r="209" spans="1:44" s="14" customForma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12"/>
      <c r="N209" s="4"/>
      <c r="O209" s="4"/>
      <c r="P209" s="4"/>
      <c r="Q209" s="12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15"/>
      <c r="M210" s="19"/>
      <c r="N210" s="4"/>
      <c r="O210" s="4"/>
      <c r="P210" s="4"/>
      <c r="Q210" s="12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2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5"/>
      <c r="N212" s="15"/>
      <c r="O212" s="15"/>
      <c r="P212" s="15"/>
      <c r="Q212" s="19"/>
      <c r="S212" s="20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>
      <c r="K216" s="15"/>
      <c r="L216" s="15"/>
      <c r="M216" s="15"/>
      <c r="N216" s="15"/>
      <c r="O216" s="15"/>
      <c r="P216" s="15"/>
      <c r="Q216" s="19"/>
      <c r="S216" s="20"/>
    </row>
    <row r="218" spans="1:44">
      <c r="K218" s="15"/>
      <c r="O218" s="15"/>
      <c r="P218" s="15"/>
    </row>
    <row r="221" spans="1:44">
      <c r="O221" s="15"/>
    </row>
    <row r="222" spans="1:44" s="12" customForma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15"/>
      <c r="N222" s="4"/>
      <c r="O222" s="4"/>
      <c r="P222" s="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4"/>
      <c r="AN222" s="4"/>
      <c r="AO222" s="4"/>
      <c r="AP222" s="4"/>
      <c r="AQ222" s="4"/>
      <c r="AR222" s="4"/>
    </row>
  </sheetData>
  <mergeCells count="8">
    <mergeCell ref="A207:B207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S222"/>
  <sheetViews>
    <sheetView topLeftCell="A197" zoomScale="66" zoomScaleNormal="66" workbookViewId="0">
      <selection activeCell="A210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31">
        <f>L10+P10</f>
        <v>4105.6000000000004</v>
      </c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24</v>
      </c>
      <c r="I11" s="1">
        <v>10</v>
      </c>
      <c r="J11" s="26">
        <v>10</v>
      </c>
      <c r="K11" s="27">
        <f t="shared" ref="K11:K74" si="1">L11+M11</f>
        <v>18067.2</v>
      </c>
      <c r="L11" s="27">
        <v>18067.2</v>
      </c>
      <c r="M11" s="27"/>
      <c r="N11" s="1">
        <v>16</v>
      </c>
      <c r="O11" s="27">
        <f t="shared" ref="O11:O74" si="2">P11+Q11</f>
        <v>67766.52</v>
      </c>
      <c r="P11" s="27">
        <v>67766.52</v>
      </c>
      <c r="Q11" s="27"/>
      <c r="R11" s="31">
        <f t="shared" ref="R11:R74" si="3">L11+P11</f>
        <v>85833.72</v>
      </c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38</v>
      </c>
      <c r="I12" s="1">
        <v>11</v>
      </c>
      <c r="J12" s="26">
        <v>15</v>
      </c>
      <c r="K12" s="27">
        <f t="shared" si="1"/>
        <v>6583.05</v>
      </c>
      <c r="L12" s="27">
        <v>6583.05</v>
      </c>
      <c r="M12" s="27"/>
      <c r="N12" s="1">
        <v>12</v>
      </c>
      <c r="O12" s="27">
        <f t="shared" si="2"/>
        <v>26019.82</v>
      </c>
      <c r="P12" s="27">
        <v>26019.82</v>
      </c>
      <c r="Q12" s="27"/>
      <c r="R12" s="31">
        <f t="shared" si="3"/>
        <v>32602.87</v>
      </c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2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31">
        <f t="shared" si="3"/>
        <v>8810</v>
      </c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22</v>
      </c>
      <c r="J14" s="26">
        <v>33</v>
      </c>
      <c r="K14" s="27">
        <f t="shared" si="1"/>
        <v>14230.66</v>
      </c>
      <c r="L14" s="27">
        <v>14230.66</v>
      </c>
      <c r="M14" s="27"/>
      <c r="N14" s="1">
        <v>20</v>
      </c>
      <c r="O14" s="27">
        <f t="shared" si="2"/>
        <v>34494.57</v>
      </c>
      <c r="P14" s="27">
        <f>30961.32+3533.25</f>
        <v>34494.57</v>
      </c>
      <c r="Q14" s="27"/>
      <c r="R14" s="31">
        <f t="shared" si="3"/>
        <v>48725.229999999996</v>
      </c>
    </row>
    <row r="15" spans="1:18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31">
        <f t="shared" si="3"/>
        <v>36532.100000000006</v>
      </c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49</v>
      </c>
      <c r="I16" s="1">
        <v>41</v>
      </c>
      <c r="J16" s="26">
        <v>50</v>
      </c>
      <c r="K16" s="27">
        <f t="shared" si="1"/>
        <v>35564.14</v>
      </c>
      <c r="L16" s="27">
        <v>35564.14</v>
      </c>
      <c r="M16" s="27"/>
      <c r="N16" s="1">
        <v>24</v>
      </c>
      <c r="O16" s="27">
        <f t="shared" si="2"/>
        <v>69037.62</v>
      </c>
      <c r="P16" s="27">
        <f>65062.86+3974.76</f>
        <v>69037.62</v>
      </c>
      <c r="Q16" s="27"/>
      <c r="R16" s="31">
        <f t="shared" si="3"/>
        <v>104601.76</v>
      </c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>
        <f t="shared" si="3"/>
        <v>0</v>
      </c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31">
        <f t="shared" si="3"/>
        <v>0</v>
      </c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31">
        <f t="shared" si="3"/>
        <v>23296.77</v>
      </c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50</v>
      </c>
      <c r="I20" s="1">
        <v>35</v>
      </c>
      <c r="J20" s="26">
        <v>36</v>
      </c>
      <c r="K20" s="27">
        <f t="shared" si="1"/>
        <v>32460.240000000002</v>
      </c>
      <c r="L20" s="27">
        <v>32460.240000000002</v>
      </c>
      <c r="M20" s="27"/>
      <c r="N20" s="1">
        <v>26</v>
      </c>
      <c r="O20" s="27">
        <f t="shared" si="2"/>
        <v>74450.66</v>
      </c>
      <c r="P20" s="27">
        <f>70362.9+2269.02+422.88+1395.86</f>
        <v>74450.66</v>
      </c>
      <c r="Q20" s="27"/>
      <c r="R20" s="31">
        <f t="shared" si="3"/>
        <v>106910.90000000001</v>
      </c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31">
        <f t="shared" si="3"/>
        <v>7804.06</v>
      </c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16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12</v>
      </c>
      <c r="O22" s="27">
        <f t="shared" si="2"/>
        <v>21286.2</v>
      </c>
      <c r="P22" s="27">
        <v>21286.2</v>
      </c>
      <c r="Q22" s="27"/>
      <c r="R22" s="31">
        <f t="shared" si="3"/>
        <v>25336.400000000001</v>
      </c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1</v>
      </c>
      <c r="O23" s="27">
        <f t="shared" si="2"/>
        <v>6214.5599999999995</v>
      </c>
      <c r="P23" s="27">
        <v>6214.5599999999995</v>
      </c>
      <c r="Q23" s="27"/>
      <c r="R23" s="31">
        <f t="shared" si="3"/>
        <v>6214.5599999999995</v>
      </c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2</v>
      </c>
      <c r="O24" s="27">
        <f t="shared" si="2"/>
        <v>0</v>
      </c>
      <c r="P24" s="27"/>
      <c r="Q24" s="27"/>
      <c r="R24" s="31">
        <f t="shared" si="3"/>
        <v>0</v>
      </c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>
        <f t="shared" si="3"/>
        <v>0</v>
      </c>
    </row>
    <row r="26" spans="1:18" ht="15" customHeight="1">
      <c r="A26" s="41">
        <v>9</v>
      </c>
      <c r="B26" s="37" t="s">
        <v>484</v>
      </c>
      <c r="C26" s="41" t="s">
        <v>18</v>
      </c>
      <c r="D26" s="37"/>
      <c r="E26" s="37" t="s">
        <v>104</v>
      </c>
      <c r="F26" s="37" t="s">
        <v>487</v>
      </c>
      <c r="G26" s="37" t="s">
        <v>122</v>
      </c>
      <c r="H26" s="42">
        <v>7</v>
      </c>
      <c r="I26" s="40">
        <v>1</v>
      </c>
      <c r="J26" s="43">
        <v>1</v>
      </c>
      <c r="K26" s="27">
        <f t="shared" si="1"/>
        <v>0</v>
      </c>
      <c r="L26" s="39"/>
      <c r="M26" s="39"/>
      <c r="N26" s="40"/>
      <c r="O26" s="27">
        <f t="shared" si="2"/>
        <v>0</v>
      </c>
      <c r="P26" s="39"/>
      <c r="Q26" s="39"/>
      <c r="R26" s="31">
        <f t="shared" si="3"/>
        <v>0</v>
      </c>
    </row>
    <row r="27" spans="1:18" ht="29.25" customHeight="1">
      <c r="A27" s="29">
        <v>10</v>
      </c>
      <c r="B27" s="30" t="s">
        <v>29</v>
      </c>
      <c r="C27" s="29" t="s">
        <v>30</v>
      </c>
      <c r="D27" s="30" t="s">
        <v>31</v>
      </c>
      <c r="E27" s="30" t="s">
        <v>32</v>
      </c>
      <c r="F27" s="30" t="s">
        <v>386</v>
      </c>
      <c r="G27" s="30" t="s">
        <v>142</v>
      </c>
      <c r="H27" s="25">
        <v>11</v>
      </c>
      <c r="I27" s="1">
        <v>7</v>
      </c>
      <c r="J27" s="44">
        <v>7</v>
      </c>
      <c r="K27" s="27">
        <f t="shared" si="1"/>
        <v>4086.08</v>
      </c>
      <c r="L27" s="27">
        <v>4086.08</v>
      </c>
      <c r="M27" s="27"/>
      <c r="N27" s="1">
        <v>3</v>
      </c>
      <c r="O27" s="27">
        <f t="shared" si="2"/>
        <v>3570.69</v>
      </c>
      <c r="P27" s="27">
        <f>3570.69</f>
        <v>3570.69</v>
      </c>
      <c r="Q27" s="27"/>
      <c r="R27" s="31">
        <f t="shared" si="3"/>
        <v>7656.77</v>
      </c>
    </row>
    <row r="28" spans="1:18" ht="27.6" customHeight="1">
      <c r="A28" s="24">
        <v>11</v>
      </c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387</v>
      </c>
      <c r="G28" s="23" t="s">
        <v>142</v>
      </c>
      <c r="H28" s="25">
        <v>17</v>
      </c>
      <c r="I28" s="1">
        <v>8</v>
      </c>
      <c r="J28" s="44">
        <v>11</v>
      </c>
      <c r="K28" s="27">
        <f t="shared" si="1"/>
        <v>18888.64</v>
      </c>
      <c r="L28" s="27">
        <v>18888.64</v>
      </c>
      <c r="M28" s="27"/>
      <c r="N28" s="1">
        <v>4</v>
      </c>
      <c r="O28" s="27">
        <f t="shared" si="2"/>
        <v>18079.97</v>
      </c>
      <c r="P28" s="27">
        <f>12527.2+5552.77</f>
        <v>18079.97</v>
      </c>
      <c r="Q28" s="27"/>
      <c r="R28" s="31">
        <f t="shared" si="3"/>
        <v>36968.61</v>
      </c>
    </row>
    <row r="29" spans="1:18" ht="28.15" customHeight="1">
      <c r="A29" s="24"/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123</v>
      </c>
      <c r="G29" s="23" t="s">
        <v>136</v>
      </c>
      <c r="H29" s="25">
        <v>2</v>
      </c>
      <c r="I29" s="1"/>
      <c r="J29" s="26"/>
      <c r="K29" s="27">
        <f t="shared" si="1"/>
        <v>0</v>
      </c>
      <c r="L29" s="27"/>
      <c r="M29" s="27"/>
      <c r="N29" s="1">
        <v>2</v>
      </c>
      <c r="O29" s="27">
        <f t="shared" si="2"/>
        <v>3259.7</v>
      </c>
      <c r="P29" s="27">
        <v>3259.7</v>
      </c>
      <c r="Q29" s="27"/>
      <c r="R29" s="31">
        <f t="shared" si="3"/>
        <v>3259.7</v>
      </c>
    </row>
    <row r="30" spans="1:18" ht="15" customHeight="1">
      <c r="A30" s="24">
        <v>12</v>
      </c>
      <c r="B30" s="23" t="s">
        <v>35</v>
      </c>
      <c r="C30" s="24" t="s">
        <v>18</v>
      </c>
      <c r="D30" s="23"/>
      <c r="E30" s="23" t="s">
        <v>36</v>
      </c>
      <c r="F30" s="23" t="s">
        <v>388</v>
      </c>
      <c r="G30" s="23" t="s">
        <v>142</v>
      </c>
      <c r="H30" s="25">
        <v>27</v>
      </c>
      <c r="I30" s="1">
        <v>18</v>
      </c>
      <c r="J30" s="26">
        <v>20</v>
      </c>
      <c r="K30" s="27">
        <f t="shared" si="1"/>
        <v>14723.62</v>
      </c>
      <c r="L30" s="27">
        <v>14723.62</v>
      </c>
      <c r="M30" s="27"/>
      <c r="N30" s="1">
        <v>19</v>
      </c>
      <c r="O30" s="27">
        <f t="shared" si="2"/>
        <v>20737.96</v>
      </c>
      <c r="P30" s="27">
        <v>20737.96</v>
      </c>
      <c r="Q30" s="27"/>
      <c r="R30" s="31">
        <f t="shared" si="3"/>
        <v>35461.58</v>
      </c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120</v>
      </c>
      <c r="G31" s="23" t="s">
        <v>124</v>
      </c>
      <c r="H31" s="25">
        <v>0</v>
      </c>
      <c r="I31" s="2"/>
      <c r="J31" s="26"/>
      <c r="K31" s="27">
        <f t="shared" si="1"/>
        <v>0</v>
      </c>
      <c r="L31" s="27"/>
      <c r="M31" s="27"/>
      <c r="N31" s="2">
        <v>4</v>
      </c>
      <c r="O31" s="27">
        <f t="shared" si="2"/>
        <v>0</v>
      </c>
      <c r="P31" s="27"/>
      <c r="Q31" s="27"/>
      <c r="R31" s="31">
        <f t="shared" si="3"/>
        <v>0</v>
      </c>
    </row>
    <row r="32" spans="1:18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359</v>
      </c>
      <c r="G32" s="23" t="s">
        <v>136</v>
      </c>
      <c r="H32" s="25">
        <v>7</v>
      </c>
      <c r="I32" s="2">
        <v>4</v>
      </c>
      <c r="J32" s="26">
        <v>4</v>
      </c>
      <c r="K32" s="27">
        <f t="shared" si="1"/>
        <v>4052.6</v>
      </c>
      <c r="L32" s="27">
        <v>4052.6</v>
      </c>
      <c r="M32" s="27"/>
      <c r="N32" s="2">
        <v>5</v>
      </c>
      <c r="O32" s="27">
        <f t="shared" si="2"/>
        <v>4921.8999999999996</v>
      </c>
      <c r="P32" s="27">
        <v>4921.8999999999996</v>
      </c>
      <c r="Q32" s="27"/>
      <c r="R32" s="31">
        <f t="shared" si="3"/>
        <v>8974.5</v>
      </c>
    </row>
    <row r="33" spans="1:18" ht="15" customHeight="1">
      <c r="A33" s="74">
        <v>13</v>
      </c>
      <c r="B33" s="77" t="s">
        <v>37</v>
      </c>
      <c r="C33" s="74" t="s">
        <v>18</v>
      </c>
      <c r="D33" s="77"/>
      <c r="E33" s="77" t="s">
        <v>38</v>
      </c>
      <c r="F33" s="77" t="s">
        <v>389</v>
      </c>
      <c r="G33" s="77" t="s">
        <v>142</v>
      </c>
      <c r="H33" s="25">
        <v>21</v>
      </c>
      <c r="I33" s="1">
        <v>15</v>
      </c>
      <c r="J33" s="26">
        <v>22</v>
      </c>
      <c r="K33" s="27">
        <f t="shared" si="1"/>
        <v>9975.4599999999991</v>
      </c>
      <c r="L33" s="27">
        <f>6122.51+3852.95</f>
        <v>9975.4599999999991</v>
      </c>
      <c r="M33" s="27"/>
      <c r="N33" s="1">
        <v>15</v>
      </c>
      <c r="O33" s="27">
        <f t="shared" si="2"/>
        <v>51128.02</v>
      </c>
      <c r="P33" s="27">
        <v>51128.02</v>
      </c>
      <c r="Q33" s="27"/>
      <c r="R33" s="31">
        <f t="shared" si="3"/>
        <v>61103.479999999996</v>
      </c>
    </row>
    <row r="34" spans="1:18" ht="15" customHeight="1">
      <c r="A34" s="24"/>
      <c r="B34" s="23" t="s">
        <v>37</v>
      </c>
      <c r="C34" s="24" t="s">
        <v>18</v>
      </c>
      <c r="D34" s="23"/>
      <c r="E34" s="23" t="s">
        <v>38</v>
      </c>
      <c r="F34" s="23" t="s">
        <v>374</v>
      </c>
      <c r="G34" s="23" t="s">
        <v>124</v>
      </c>
      <c r="H34" s="25">
        <v>6</v>
      </c>
      <c r="I34" s="2">
        <v>2</v>
      </c>
      <c r="J34" s="26">
        <v>2</v>
      </c>
      <c r="K34" s="27">
        <f t="shared" si="1"/>
        <v>1380.75</v>
      </c>
      <c r="L34" s="27">
        <v>1380.75</v>
      </c>
      <c r="M34" s="27"/>
      <c r="N34" s="2">
        <v>4</v>
      </c>
      <c r="O34" s="27">
        <f t="shared" si="2"/>
        <v>2995.4</v>
      </c>
      <c r="P34" s="27">
        <v>2995.4</v>
      </c>
      <c r="Q34" s="27"/>
      <c r="R34" s="31">
        <f t="shared" si="3"/>
        <v>4376.1499999999996</v>
      </c>
    </row>
    <row r="35" spans="1:18" ht="15" customHeight="1">
      <c r="A35" s="24">
        <v>14</v>
      </c>
      <c r="B35" s="23" t="s">
        <v>39</v>
      </c>
      <c r="C35" s="24" t="s">
        <v>18</v>
      </c>
      <c r="D35" s="23"/>
      <c r="E35" s="23" t="s">
        <v>19</v>
      </c>
      <c r="F35" s="23" t="s">
        <v>120</v>
      </c>
      <c r="G35" s="23" t="s">
        <v>142</v>
      </c>
      <c r="H35" s="25">
        <v>0</v>
      </c>
      <c r="I35" s="1"/>
      <c r="J35" s="26"/>
      <c r="K35" s="27">
        <f t="shared" si="1"/>
        <v>0</v>
      </c>
      <c r="L35" s="27"/>
      <c r="M35" s="27"/>
      <c r="N35" s="1">
        <v>5</v>
      </c>
      <c r="O35" s="27">
        <f t="shared" si="2"/>
        <v>17504.7</v>
      </c>
      <c r="P35" s="27">
        <f>16623.7+881</f>
        <v>17504.7</v>
      </c>
      <c r="Q35" s="27"/>
      <c r="R35" s="31">
        <f t="shared" si="3"/>
        <v>17504.7</v>
      </c>
    </row>
    <row r="36" spans="1:18" ht="15.6" customHeight="1">
      <c r="A36" s="24"/>
      <c r="B36" s="23" t="s">
        <v>39</v>
      </c>
      <c r="C36" s="24" t="s">
        <v>18</v>
      </c>
      <c r="D36" s="23"/>
      <c r="E36" s="23" t="s">
        <v>19</v>
      </c>
      <c r="F36" s="23" t="s">
        <v>450</v>
      </c>
      <c r="G36" s="23" t="s">
        <v>122</v>
      </c>
      <c r="H36" s="25">
        <v>13</v>
      </c>
      <c r="I36" s="1">
        <v>1</v>
      </c>
      <c r="J36" s="26">
        <v>1</v>
      </c>
      <c r="K36" s="27">
        <f t="shared" si="1"/>
        <v>528.6</v>
      </c>
      <c r="L36" s="27">
        <v>528.6</v>
      </c>
      <c r="M36" s="27"/>
      <c r="N36" s="1">
        <v>7</v>
      </c>
      <c r="O36" s="27">
        <f t="shared" si="2"/>
        <v>18317.34</v>
      </c>
      <c r="P36" s="27">
        <v>18317.34</v>
      </c>
      <c r="Q36" s="27"/>
      <c r="R36" s="31">
        <f t="shared" si="3"/>
        <v>18845.939999999999</v>
      </c>
    </row>
    <row r="37" spans="1:18" ht="15" customHeight="1">
      <c r="A37" s="24">
        <v>15</v>
      </c>
      <c r="B37" s="23" t="s">
        <v>40</v>
      </c>
      <c r="C37" s="24" t="s">
        <v>18</v>
      </c>
      <c r="D37" s="23"/>
      <c r="E37" s="23" t="s">
        <v>41</v>
      </c>
      <c r="F37" s="23" t="s">
        <v>390</v>
      </c>
      <c r="G37" s="23" t="s">
        <v>142</v>
      </c>
      <c r="H37" s="25">
        <v>18</v>
      </c>
      <c r="I37" s="1">
        <v>5</v>
      </c>
      <c r="J37" s="26">
        <v>5</v>
      </c>
      <c r="K37" s="27">
        <f t="shared" si="1"/>
        <v>0</v>
      </c>
      <c r="L37" s="27"/>
      <c r="M37" s="27"/>
      <c r="N37" s="1">
        <v>12</v>
      </c>
      <c r="O37" s="27">
        <f t="shared" si="2"/>
        <v>13827.210000000001</v>
      </c>
      <c r="P37" s="27">
        <f>11156.02+2671.19</f>
        <v>13827.210000000001</v>
      </c>
      <c r="Q37" s="27"/>
      <c r="R37" s="31">
        <f t="shared" si="3"/>
        <v>13827.210000000001</v>
      </c>
    </row>
    <row r="38" spans="1:18" ht="15" customHeight="1">
      <c r="A38" s="24"/>
      <c r="B38" s="23" t="s">
        <v>40</v>
      </c>
      <c r="C38" s="24" t="s">
        <v>18</v>
      </c>
      <c r="D38" s="23"/>
      <c r="E38" s="23" t="s">
        <v>41</v>
      </c>
      <c r="F38" s="23" t="s">
        <v>360</v>
      </c>
      <c r="G38" s="23" t="s">
        <v>136</v>
      </c>
      <c r="H38" s="25">
        <v>19</v>
      </c>
      <c r="I38" s="2">
        <v>2</v>
      </c>
      <c r="J38" s="26">
        <v>2</v>
      </c>
      <c r="K38" s="27">
        <f t="shared" si="1"/>
        <v>12586.8</v>
      </c>
      <c r="L38" s="27">
        <v>12586.8</v>
      </c>
      <c r="M38" s="27"/>
      <c r="N38" s="2">
        <v>6</v>
      </c>
      <c r="O38" s="27">
        <f t="shared" si="2"/>
        <v>15946.1</v>
      </c>
      <c r="P38" s="27">
        <v>15946.1</v>
      </c>
      <c r="Q38" s="27"/>
      <c r="R38" s="31">
        <f t="shared" si="3"/>
        <v>28532.9</v>
      </c>
    </row>
    <row r="39" spans="1:18" ht="15" customHeight="1">
      <c r="A39" s="74">
        <v>16</v>
      </c>
      <c r="B39" s="77" t="s">
        <v>42</v>
      </c>
      <c r="C39" s="74" t="s">
        <v>18</v>
      </c>
      <c r="D39" s="77"/>
      <c r="E39" s="77" t="s">
        <v>41</v>
      </c>
      <c r="F39" s="77" t="s">
        <v>391</v>
      </c>
      <c r="G39" s="77" t="s">
        <v>142</v>
      </c>
      <c r="H39" s="25">
        <v>22</v>
      </c>
      <c r="I39" s="1">
        <v>13</v>
      </c>
      <c r="J39" s="26">
        <v>15</v>
      </c>
      <c r="K39" s="27">
        <f t="shared" si="1"/>
        <v>17627.599999999999</v>
      </c>
      <c r="L39" s="27">
        <v>17627.599999999999</v>
      </c>
      <c r="M39" s="27"/>
      <c r="N39" s="1">
        <v>12</v>
      </c>
      <c r="O39" s="27">
        <f t="shared" si="2"/>
        <v>31911.79</v>
      </c>
      <c r="P39" s="27">
        <f>28541.43+3370.36</f>
        <v>31911.79</v>
      </c>
      <c r="Q39" s="27"/>
      <c r="R39" s="31">
        <f t="shared" si="3"/>
        <v>49539.39</v>
      </c>
    </row>
    <row r="40" spans="1:18" ht="14.45" customHeight="1">
      <c r="A40" s="24"/>
      <c r="B40" s="23" t="s">
        <v>42</v>
      </c>
      <c r="C40" s="24" t="s">
        <v>18</v>
      </c>
      <c r="D40" s="23"/>
      <c r="E40" s="23" t="s">
        <v>41</v>
      </c>
      <c r="F40" s="23" t="s">
        <v>361</v>
      </c>
      <c r="G40" s="23" t="s">
        <v>136</v>
      </c>
      <c r="H40" s="25">
        <v>17</v>
      </c>
      <c r="I40" s="2">
        <v>3</v>
      </c>
      <c r="J40" s="26">
        <v>3</v>
      </c>
      <c r="K40" s="27">
        <f t="shared" si="1"/>
        <v>5814.6</v>
      </c>
      <c r="L40" s="27">
        <v>5814.6</v>
      </c>
      <c r="M40" s="27"/>
      <c r="N40" s="2">
        <v>10</v>
      </c>
      <c r="O40" s="27">
        <f t="shared" si="2"/>
        <v>23225.599999999999</v>
      </c>
      <c r="P40" s="27">
        <v>23225.599999999999</v>
      </c>
      <c r="Q40" s="27"/>
      <c r="R40" s="31">
        <f t="shared" si="3"/>
        <v>29040.199999999997</v>
      </c>
    </row>
    <row r="41" spans="1:18" ht="15" customHeight="1">
      <c r="A41" s="24">
        <v>17</v>
      </c>
      <c r="B41" s="23" t="s">
        <v>43</v>
      </c>
      <c r="C41" s="24" t="s">
        <v>18</v>
      </c>
      <c r="D41" s="23"/>
      <c r="E41" s="23" t="s">
        <v>19</v>
      </c>
      <c r="F41" s="23" t="s">
        <v>457</v>
      </c>
      <c r="G41" s="23" t="s">
        <v>142</v>
      </c>
      <c r="H41" s="25">
        <v>14</v>
      </c>
      <c r="I41" s="1">
        <v>11</v>
      </c>
      <c r="J41" s="26">
        <v>12</v>
      </c>
      <c r="K41" s="27">
        <f t="shared" si="1"/>
        <v>5380.1399999999994</v>
      </c>
      <c r="L41" s="27">
        <f>1131.2+4248.94</f>
        <v>5380.1399999999994</v>
      </c>
      <c r="M41" s="27"/>
      <c r="N41" s="1">
        <v>7</v>
      </c>
      <c r="O41" s="27">
        <f t="shared" si="2"/>
        <v>6914.0999999999995</v>
      </c>
      <c r="P41" s="27">
        <f>4817.32+599.08+1497.7</f>
        <v>6914.0999999999995</v>
      </c>
      <c r="Q41" s="27"/>
      <c r="R41" s="31">
        <f t="shared" si="3"/>
        <v>12294.239999999998</v>
      </c>
    </row>
    <row r="42" spans="1:18" ht="15" customHeight="1">
      <c r="A42" s="24"/>
      <c r="B42" s="23" t="s">
        <v>43</v>
      </c>
      <c r="C42" s="24" t="s">
        <v>18</v>
      </c>
      <c r="D42" s="23"/>
      <c r="E42" s="23" t="s">
        <v>19</v>
      </c>
      <c r="F42" s="23" t="s">
        <v>448</v>
      </c>
      <c r="G42" s="23" t="s">
        <v>122</v>
      </c>
      <c r="H42" s="25">
        <v>15</v>
      </c>
      <c r="I42" s="1"/>
      <c r="J42" s="26"/>
      <c r="K42" s="27">
        <f t="shared" si="1"/>
        <v>0</v>
      </c>
      <c r="L42" s="27"/>
      <c r="M42" s="27"/>
      <c r="N42" s="1">
        <v>5</v>
      </c>
      <c r="O42" s="27">
        <f t="shared" si="2"/>
        <v>6497.99</v>
      </c>
      <c r="P42" s="27">
        <v>6497.99</v>
      </c>
      <c r="Q42" s="27"/>
      <c r="R42" s="31">
        <f t="shared" si="3"/>
        <v>6497.99</v>
      </c>
    </row>
    <row r="43" spans="1:18" ht="15" customHeight="1">
      <c r="A43" s="24">
        <v>18</v>
      </c>
      <c r="B43" s="23" t="s">
        <v>44</v>
      </c>
      <c r="C43" s="24" t="s">
        <v>18</v>
      </c>
      <c r="D43" s="23"/>
      <c r="E43" s="23" t="s">
        <v>45</v>
      </c>
      <c r="F43" s="23" t="s">
        <v>392</v>
      </c>
      <c r="G43" s="23" t="s">
        <v>142</v>
      </c>
      <c r="H43" s="25">
        <v>27</v>
      </c>
      <c r="I43" s="1"/>
      <c r="J43" s="26"/>
      <c r="K43" s="27">
        <f t="shared" si="1"/>
        <v>15890.44</v>
      </c>
      <c r="L43" s="27">
        <v>15890.44</v>
      </c>
      <c r="M43" s="27"/>
      <c r="N43" s="1"/>
      <c r="O43" s="27">
        <f t="shared" si="2"/>
        <v>24085.7</v>
      </c>
      <c r="P43" s="27">
        <v>24085.7</v>
      </c>
      <c r="Q43" s="27"/>
      <c r="R43" s="31">
        <f t="shared" si="3"/>
        <v>39976.14</v>
      </c>
    </row>
    <row r="44" spans="1:18" ht="15" customHeight="1">
      <c r="A44" s="24"/>
      <c r="B44" s="23" t="s">
        <v>126</v>
      </c>
      <c r="C44" s="24" t="s">
        <v>18</v>
      </c>
      <c r="D44" s="23"/>
      <c r="E44" s="23" t="s">
        <v>45</v>
      </c>
      <c r="F44" s="23" t="s">
        <v>318</v>
      </c>
      <c r="G44" s="23" t="s">
        <v>124</v>
      </c>
      <c r="H44" s="25">
        <v>3</v>
      </c>
      <c r="I44" s="2"/>
      <c r="J44" s="26"/>
      <c r="K44" s="27">
        <f t="shared" si="1"/>
        <v>0</v>
      </c>
      <c r="L44" s="27"/>
      <c r="M44" s="27"/>
      <c r="N44" s="2"/>
      <c r="O44" s="27">
        <f t="shared" si="2"/>
        <v>0</v>
      </c>
      <c r="P44" s="27"/>
      <c r="Q44" s="27"/>
      <c r="R44" s="31">
        <f t="shared" si="3"/>
        <v>0</v>
      </c>
    </row>
    <row r="45" spans="1:18" ht="15" customHeight="1">
      <c r="A45" s="24">
        <v>19</v>
      </c>
      <c r="B45" s="23" t="s">
        <v>46</v>
      </c>
      <c r="C45" s="24" t="s">
        <v>18</v>
      </c>
      <c r="D45" s="23"/>
      <c r="E45" s="23" t="s">
        <v>19</v>
      </c>
      <c r="F45" s="23" t="s">
        <v>120</v>
      </c>
      <c r="G45" s="23" t="s">
        <v>142</v>
      </c>
      <c r="H45" s="25">
        <v>0</v>
      </c>
      <c r="I45" s="1"/>
      <c r="J45" s="26"/>
      <c r="K45" s="27">
        <f t="shared" si="1"/>
        <v>0</v>
      </c>
      <c r="L45" s="27"/>
      <c r="M45" s="27"/>
      <c r="N45" s="1">
        <v>5</v>
      </c>
      <c r="O45" s="27">
        <f t="shared" si="2"/>
        <v>35808.350000000006</v>
      </c>
      <c r="P45" s="27">
        <f>34238.41+1569.94</f>
        <v>35808.350000000006</v>
      </c>
      <c r="Q45" s="27"/>
      <c r="R45" s="31">
        <f t="shared" si="3"/>
        <v>35808.350000000006</v>
      </c>
    </row>
    <row r="46" spans="1:18" ht="15.6" customHeight="1">
      <c r="A46" s="24"/>
      <c r="B46" s="23" t="s">
        <v>46</v>
      </c>
      <c r="C46" s="24" t="s">
        <v>18</v>
      </c>
      <c r="D46" s="23"/>
      <c r="E46" s="23" t="s">
        <v>19</v>
      </c>
      <c r="F46" s="23" t="s">
        <v>355</v>
      </c>
      <c r="G46" s="23" t="s">
        <v>122</v>
      </c>
      <c r="H46" s="25">
        <v>10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6431.3</v>
      </c>
      <c r="P46" s="27">
        <v>6431.3</v>
      </c>
      <c r="Q46" s="27"/>
      <c r="R46" s="31">
        <f t="shared" si="3"/>
        <v>6431.3</v>
      </c>
    </row>
    <row r="47" spans="1:18" ht="15" customHeight="1">
      <c r="A47" s="74">
        <v>20</v>
      </c>
      <c r="B47" s="77" t="s">
        <v>47</v>
      </c>
      <c r="C47" s="74" t="s">
        <v>18</v>
      </c>
      <c r="D47" s="77"/>
      <c r="E47" s="77" t="s">
        <v>19</v>
      </c>
      <c r="F47" s="77" t="s">
        <v>292</v>
      </c>
      <c r="G47" s="77" t="s">
        <v>142</v>
      </c>
      <c r="H47" s="25">
        <v>0</v>
      </c>
      <c r="I47" s="1"/>
      <c r="J47" s="26"/>
      <c r="K47" s="27">
        <f t="shared" si="1"/>
        <v>0</v>
      </c>
      <c r="L47" s="27"/>
      <c r="M47" s="27"/>
      <c r="N47" s="1">
        <v>10</v>
      </c>
      <c r="O47" s="27">
        <f t="shared" si="2"/>
        <v>25165.45</v>
      </c>
      <c r="P47" s="27">
        <f>22402.99+2762.46</f>
        <v>25165.45</v>
      </c>
      <c r="Q47" s="27"/>
      <c r="R47" s="31">
        <f t="shared" si="3"/>
        <v>25165.45</v>
      </c>
    </row>
    <row r="48" spans="1:18" ht="13.9" customHeight="1">
      <c r="A48" s="24"/>
      <c r="B48" s="23" t="s">
        <v>47</v>
      </c>
      <c r="C48" s="24" t="s">
        <v>18</v>
      </c>
      <c r="D48" s="23"/>
      <c r="E48" s="23" t="s">
        <v>19</v>
      </c>
      <c r="F48" s="23" t="s">
        <v>354</v>
      </c>
      <c r="G48" s="23" t="s">
        <v>122</v>
      </c>
      <c r="H48" s="25">
        <v>10</v>
      </c>
      <c r="I48" s="1">
        <v>2</v>
      </c>
      <c r="J48" s="26">
        <v>2</v>
      </c>
      <c r="K48" s="27">
        <f t="shared" si="1"/>
        <v>0</v>
      </c>
      <c r="L48" s="27"/>
      <c r="M48" s="27"/>
      <c r="N48" s="1">
        <v>9</v>
      </c>
      <c r="O48" s="27">
        <f t="shared" si="2"/>
        <v>20020.73</v>
      </c>
      <c r="P48" s="27">
        <v>20020.73</v>
      </c>
      <c r="Q48" s="27"/>
      <c r="R48" s="31">
        <f t="shared" si="3"/>
        <v>20020.73</v>
      </c>
    </row>
    <row r="49" spans="1:18">
      <c r="A49" s="24">
        <v>21</v>
      </c>
      <c r="B49" s="23" t="s">
        <v>316</v>
      </c>
      <c r="C49" s="24" t="s">
        <v>18</v>
      </c>
      <c r="D49" s="23"/>
      <c r="E49" s="23" t="s">
        <v>19</v>
      </c>
      <c r="F49" s="23" t="s">
        <v>393</v>
      </c>
      <c r="G49" s="23" t="s">
        <v>142</v>
      </c>
      <c r="H49" s="25">
        <v>20</v>
      </c>
      <c r="I49" s="1">
        <v>19</v>
      </c>
      <c r="J49" s="26">
        <v>20</v>
      </c>
      <c r="K49" s="27">
        <f t="shared" si="1"/>
        <v>11305.32</v>
      </c>
      <c r="L49" s="27">
        <f>8384.28+2921.04</f>
        <v>11305.32</v>
      </c>
      <c r="M49" s="27"/>
      <c r="N49" s="1"/>
      <c r="O49" s="27">
        <f t="shared" si="2"/>
        <v>0</v>
      </c>
      <c r="P49" s="27"/>
      <c r="Q49" s="27"/>
      <c r="R49" s="31">
        <f t="shared" si="3"/>
        <v>11305.32</v>
      </c>
    </row>
    <row r="50" spans="1:18" ht="13.9" customHeight="1">
      <c r="A50" s="24"/>
      <c r="B50" s="23" t="s">
        <v>316</v>
      </c>
      <c r="C50" s="24" t="s">
        <v>18</v>
      </c>
      <c r="D50" s="23"/>
      <c r="E50" s="23" t="s">
        <v>19</v>
      </c>
      <c r="F50" s="23" t="s">
        <v>353</v>
      </c>
      <c r="G50" s="23" t="s">
        <v>122</v>
      </c>
      <c r="H50" s="25">
        <v>16</v>
      </c>
      <c r="I50" s="1">
        <v>2</v>
      </c>
      <c r="J50" s="26">
        <v>2</v>
      </c>
      <c r="K50" s="27">
        <f>L50+M50</f>
        <v>4050.2</v>
      </c>
      <c r="L50" s="27">
        <v>4050.2</v>
      </c>
      <c r="M50" s="27"/>
      <c r="N50" s="1"/>
      <c r="O50" s="27">
        <f t="shared" si="2"/>
        <v>0</v>
      </c>
      <c r="P50" s="27"/>
      <c r="Q50" s="27"/>
      <c r="R50" s="31">
        <f t="shared" si="3"/>
        <v>4050.2</v>
      </c>
    </row>
    <row r="51" spans="1:18" ht="15" customHeight="1">
      <c r="A51" s="24">
        <v>22</v>
      </c>
      <c r="B51" s="23" t="s">
        <v>48</v>
      </c>
      <c r="C51" s="24" t="s">
        <v>18</v>
      </c>
      <c r="D51" s="23"/>
      <c r="E51" s="23" t="s">
        <v>19</v>
      </c>
      <c r="F51" s="23" t="s">
        <v>394</v>
      </c>
      <c r="G51" s="23" t="s">
        <v>142</v>
      </c>
      <c r="H51" s="25">
        <v>18</v>
      </c>
      <c r="I51" s="1">
        <v>15</v>
      </c>
      <c r="J51" s="26">
        <v>17</v>
      </c>
      <c r="K51" s="27">
        <f t="shared" si="1"/>
        <v>14488.18</v>
      </c>
      <c r="L51" s="27">
        <f>6913.6+7574.58</f>
        <v>14488.18</v>
      </c>
      <c r="M51" s="27"/>
      <c r="N51" s="1">
        <v>8</v>
      </c>
      <c r="O51" s="27">
        <f t="shared" si="2"/>
        <v>34567.22</v>
      </c>
      <c r="P51" s="27">
        <f>21680.73+1973.37+10913.12</f>
        <v>34567.22</v>
      </c>
      <c r="Q51" s="27"/>
      <c r="R51" s="31">
        <f t="shared" si="3"/>
        <v>49055.4</v>
      </c>
    </row>
    <row r="52" spans="1:18" ht="15" customHeight="1">
      <c r="A52" s="24"/>
      <c r="B52" s="23" t="s">
        <v>48</v>
      </c>
      <c r="C52" s="24" t="s">
        <v>18</v>
      </c>
      <c r="D52" s="23"/>
      <c r="E52" s="23" t="s">
        <v>19</v>
      </c>
      <c r="F52" s="23" t="s">
        <v>120</v>
      </c>
      <c r="G52" s="23" t="s">
        <v>122</v>
      </c>
      <c r="H52" s="25">
        <v>0</v>
      </c>
      <c r="I52" s="1"/>
      <c r="J52" s="26"/>
      <c r="K52" s="27">
        <f t="shared" si="1"/>
        <v>0</v>
      </c>
      <c r="L52" s="27"/>
      <c r="M52" s="27"/>
      <c r="N52" s="1"/>
      <c r="O52" s="27">
        <f t="shared" si="2"/>
        <v>0</v>
      </c>
      <c r="P52" s="27"/>
      <c r="Q52" s="27"/>
      <c r="R52" s="31">
        <f t="shared" si="3"/>
        <v>0</v>
      </c>
    </row>
    <row r="53" spans="1:18" ht="15" customHeight="1">
      <c r="A53" s="24">
        <v>23</v>
      </c>
      <c r="B53" s="23" t="s">
        <v>49</v>
      </c>
      <c r="C53" s="24" t="s">
        <v>18</v>
      </c>
      <c r="D53" s="23"/>
      <c r="E53" s="23" t="s">
        <v>19</v>
      </c>
      <c r="F53" s="23" t="s">
        <v>120</v>
      </c>
      <c r="G53" s="23" t="s">
        <v>142</v>
      </c>
      <c r="H53" s="25">
        <v>9</v>
      </c>
      <c r="I53" s="1">
        <v>3</v>
      </c>
      <c r="J53" s="26">
        <v>3</v>
      </c>
      <c r="K53" s="27">
        <f t="shared" si="1"/>
        <v>0</v>
      </c>
      <c r="L53" s="27"/>
      <c r="M53" s="27"/>
      <c r="N53" s="1">
        <v>10</v>
      </c>
      <c r="O53" s="27">
        <f t="shared" si="2"/>
        <v>0</v>
      </c>
      <c r="P53" s="27"/>
      <c r="Q53" s="27"/>
      <c r="R53" s="31">
        <f t="shared" si="3"/>
        <v>0</v>
      </c>
    </row>
    <row r="54" spans="1:18" ht="15" customHeight="1">
      <c r="A54" s="24">
        <v>24</v>
      </c>
      <c r="B54" s="23" t="s">
        <v>138</v>
      </c>
      <c r="C54" s="24" t="s">
        <v>18</v>
      </c>
      <c r="D54" s="23"/>
      <c r="E54" s="23" t="s">
        <v>34</v>
      </c>
      <c r="F54" s="23" t="s">
        <v>395</v>
      </c>
      <c r="G54" s="23" t="s">
        <v>142</v>
      </c>
      <c r="H54" s="25">
        <v>29</v>
      </c>
      <c r="I54" s="1">
        <v>10</v>
      </c>
      <c r="J54" s="26">
        <v>10</v>
      </c>
      <c r="K54" s="27">
        <f t="shared" si="1"/>
        <v>3401.55</v>
      </c>
      <c r="L54" s="27">
        <v>3401.55</v>
      </c>
      <c r="M54" s="27"/>
      <c r="N54" s="1">
        <v>10</v>
      </c>
      <c r="O54" s="27">
        <f t="shared" si="2"/>
        <v>44392.14</v>
      </c>
      <c r="P54" s="27">
        <v>44392.14</v>
      </c>
      <c r="Q54" s="27"/>
      <c r="R54" s="31">
        <f t="shared" si="3"/>
        <v>47793.69</v>
      </c>
    </row>
    <row r="55" spans="1:18" ht="15" customHeight="1">
      <c r="A55" s="24"/>
      <c r="B55" s="23" t="s">
        <v>138</v>
      </c>
      <c r="C55" s="24" t="s">
        <v>18</v>
      </c>
      <c r="D55" s="23"/>
      <c r="E55" s="23" t="s">
        <v>34</v>
      </c>
      <c r="F55" s="23" t="s">
        <v>477</v>
      </c>
      <c r="G55" s="23" t="s">
        <v>136</v>
      </c>
      <c r="H55" s="25">
        <v>12</v>
      </c>
      <c r="I55" s="2">
        <v>1</v>
      </c>
      <c r="J55" s="26">
        <v>1</v>
      </c>
      <c r="K55" s="27">
        <f t="shared" si="1"/>
        <v>2819.2</v>
      </c>
      <c r="L55" s="27">
        <v>2819.2</v>
      </c>
      <c r="M55" s="27"/>
      <c r="N55" s="2">
        <v>2</v>
      </c>
      <c r="O55" s="27">
        <f t="shared" si="2"/>
        <v>6343.2</v>
      </c>
      <c r="P55" s="27">
        <v>6343.2</v>
      </c>
      <c r="Q55" s="27"/>
      <c r="R55" s="31">
        <f t="shared" si="3"/>
        <v>9162.4</v>
      </c>
    </row>
    <row r="56" spans="1:18" ht="15" customHeight="1">
      <c r="A56" s="24">
        <v>25</v>
      </c>
      <c r="B56" s="23" t="s">
        <v>320</v>
      </c>
      <c r="C56" s="24" t="s">
        <v>18</v>
      </c>
      <c r="D56" s="23"/>
      <c r="E56" s="23" t="s">
        <v>370</v>
      </c>
      <c r="F56" s="23" t="s">
        <v>321</v>
      </c>
      <c r="G56" s="23" t="s">
        <v>124</v>
      </c>
      <c r="H56" s="25">
        <v>2</v>
      </c>
      <c r="I56" s="2"/>
      <c r="J56" s="26"/>
      <c r="K56" s="27">
        <f t="shared" si="1"/>
        <v>0</v>
      </c>
      <c r="L56" s="27"/>
      <c r="M56" s="27"/>
      <c r="N56" s="2"/>
      <c r="O56" s="27">
        <f t="shared" si="2"/>
        <v>0</v>
      </c>
      <c r="P56" s="27"/>
      <c r="Q56" s="27"/>
      <c r="R56" s="31">
        <f t="shared" si="3"/>
        <v>0</v>
      </c>
    </row>
    <row r="57" spans="1:18" ht="15" customHeight="1">
      <c r="A57" s="24"/>
      <c r="B57" s="23" t="s">
        <v>320</v>
      </c>
      <c r="C57" s="24" t="s">
        <v>18</v>
      </c>
      <c r="D57" s="23"/>
      <c r="E57" s="23" t="s">
        <v>36</v>
      </c>
      <c r="F57" s="23" t="s">
        <v>478</v>
      </c>
      <c r="G57" s="23" t="s">
        <v>136</v>
      </c>
      <c r="H57" s="25">
        <v>31</v>
      </c>
      <c r="I57" s="2">
        <v>3</v>
      </c>
      <c r="J57" s="26">
        <v>3</v>
      </c>
      <c r="K57" s="27">
        <f>L57+M57</f>
        <v>14109.4</v>
      </c>
      <c r="L57" s="27">
        <v>14109.4</v>
      </c>
      <c r="M57" s="27"/>
      <c r="N57" s="2"/>
      <c r="O57" s="27">
        <f>P57+Q57</f>
        <v>0</v>
      </c>
      <c r="P57" s="28">
        <v>0</v>
      </c>
      <c r="Q57" s="27"/>
      <c r="R57" s="31">
        <f t="shared" si="3"/>
        <v>14109.4</v>
      </c>
    </row>
    <row r="58" spans="1:18" s="97" customFormat="1">
      <c r="A58" s="78">
        <v>26</v>
      </c>
      <c r="B58" s="79" t="s">
        <v>147</v>
      </c>
      <c r="C58" s="80" t="s">
        <v>18</v>
      </c>
      <c r="D58" s="79"/>
      <c r="E58" s="79" t="s">
        <v>50</v>
      </c>
      <c r="F58" s="79"/>
      <c r="G58" s="79" t="s">
        <v>142</v>
      </c>
      <c r="H58" s="81">
        <v>0</v>
      </c>
      <c r="I58" s="82"/>
      <c r="J58" s="26"/>
      <c r="K58" s="27">
        <f t="shared" si="1"/>
        <v>0</v>
      </c>
      <c r="L58" s="83"/>
      <c r="M58" s="83"/>
      <c r="N58" s="26"/>
      <c r="O58" s="27">
        <f t="shared" si="2"/>
        <v>0</v>
      </c>
      <c r="P58" s="78"/>
      <c r="Q58" s="84"/>
      <c r="R58" s="31">
        <f t="shared" si="3"/>
        <v>0</v>
      </c>
    </row>
    <row r="59" spans="1:18" s="97" customFormat="1">
      <c r="A59" s="78">
        <v>27</v>
      </c>
      <c r="B59" s="79" t="s">
        <v>379</v>
      </c>
      <c r="C59" s="80" t="s">
        <v>52</v>
      </c>
      <c r="D59" s="79" t="s">
        <v>378</v>
      </c>
      <c r="E59" s="79" t="s">
        <v>19</v>
      </c>
      <c r="F59" s="79" t="s">
        <v>396</v>
      </c>
      <c r="G59" s="79" t="s">
        <v>142</v>
      </c>
      <c r="H59" s="81">
        <v>18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31">
        <f t="shared" si="3"/>
        <v>0</v>
      </c>
    </row>
    <row r="60" spans="1:18" s="97" customFormat="1">
      <c r="A60" s="78">
        <v>28</v>
      </c>
      <c r="B60" s="79" t="s">
        <v>332</v>
      </c>
      <c r="C60" s="80" t="s">
        <v>18</v>
      </c>
      <c r="D60" s="79"/>
      <c r="E60" s="79" t="s">
        <v>300</v>
      </c>
      <c r="F60" s="79" t="s">
        <v>397</v>
      </c>
      <c r="G60" s="79" t="s">
        <v>142</v>
      </c>
      <c r="H60" s="81">
        <v>49</v>
      </c>
      <c r="I60" s="26">
        <v>26</v>
      </c>
      <c r="J60" s="26">
        <v>26</v>
      </c>
      <c r="K60" s="27">
        <f t="shared" si="1"/>
        <v>15476.810000000001</v>
      </c>
      <c r="L60" s="83">
        <f>12981.51+2495.3</f>
        <v>15476.810000000001</v>
      </c>
      <c r="M60" s="83"/>
      <c r="N60" s="26"/>
      <c r="O60" s="27">
        <f t="shared" si="2"/>
        <v>0</v>
      </c>
      <c r="P60" s="78"/>
      <c r="Q60" s="84"/>
      <c r="R60" s="31">
        <f t="shared" si="3"/>
        <v>15476.810000000001</v>
      </c>
    </row>
    <row r="61" spans="1:18" ht="24.75" customHeight="1">
      <c r="A61" s="29">
        <v>29</v>
      </c>
      <c r="B61" s="30" t="s">
        <v>51</v>
      </c>
      <c r="C61" s="29" t="s">
        <v>52</v>
      </c>
      <c r="D61" s="30" t="s">
        <v>53</v>
      </c>
      <c r="E61" s="30" t="s">
        <v>19</v>
      </c>
      <c r="F61" s="30" t="s">
        <v>398</v>
      </c>
      <c r="G61" s="30" t="s">
        <v>142</v>
      </c>
      <c r="H61" s="25">
        <v>38</v>
      </c>
      <c r="I61" s="1">
        <v>24</v>
      </c>
      <c r="J61" s="26">
        <v>24</v>
      </c>
      <c r="K61" s="27">
        <f t="shared" si="1"/>
        <v>26838.02</v>
      </c>
      <c r="L61" s="27">
        <v>26838.02</v>
      </c>
      <c r="M61" s="27"/>
      <c r="N61" s="1">
        <v>16</v>
      </c>
      <c r="O61" s="27">
        <f t="shared" si="2"/>
        <v>28261.599999999999</v>
      </c>
      <c r="P61" s="27">
        <v>28261.599999999999</v>
      </c>
      <c r="Q61" s="27"/>
      <c r="R61" s="31">
        <f t="shared" si="3"/>
        <v>55099.619999999995</v>
      </c>
    </row>
    <row r="62" spans="1:18" ht="15" customHeight="1">
      <c r="A62" s="24">
        <v>30</v>
      </c>
      <c r="B62" s="23" t="s">
        <v>54</v>
      </c>
      <c r="C62" s="24" t="s">
        <v>18</v>
      </c>
      <c r="D62" s="23"/>
      <c r="E62" s="23" t="s">
        <v>19</v>
      </c>
      <c r="F62" s="23" t="s">
        <v>399</v>
      </c>
      <c r="G62" s="23" t="s">
        <v>142</v>
      </c>
      <c r="H62" s="25">
        <v>33</v>
      </c>
      <c r="I62" s="1">
        <v>22</v>
      </c>
      <c r="J62" s="26">
        <v>25</v>
      </c>
      <c r="K62" s="27">
        <f t="shared" si="1"/>
        <v>12863.92</v>
      </c>
      <c r="L62" s="27">
        <v>12863.92</v>
      </c>
      <c r="M62" s="27"/>
      <c r="N62" s="1">
        <v>12</v>
      </c>
      <c r="O62" s="27">
        <f t="shared" si="2"/>
        <v>37111.350000000006</v>
      </c>
      <c r="P62" s="27">
        <v>37111.350000000006</v>
      </c>
      <c r="Q62" s="27"/>
      <c r="R62" s="31">
        <f t="shared" si="3"/>
        <v>49975.270000000004</v>
      </c>
    </row>
    <row r="63" spans="1:18" ht="15" customHeight="1">
      <c r="A63" s="24"/>
      <c r="B63" s="23" t="s">
        <v>54</v>
      </c>
      <c r="C63" s="24" t="s">
        <v>18</v>
      </c>
      <c r="D63" s="23"/>
      <c r="E63" s="23" t="s">
        <v>19</v>
      </c>
      <c r="F63" s="23" t="s">
        <v>480</v>
      </c>
      <c r="G63" s="23" t="s">
        <v>122</v>
      </c>
      <c r="H63" s="25">
        <v>20</v>
      </c>
      <c r="I63" s="1">
        <v>5</v>
      </c>
      <c r="J63" s="26">
        <v>5</v>
      </c>
      <c r="K63" s="27">
        <f t="shared" si="1"/>
        <v>5685.8</v>
      </c>
      <c r="L63" s="27">
        <v>5685.8</v>
      </c>
      <c r="M63" s="27"/>
      <c r="N63" s="1">
        <v>13</v>
      </c>
      <c r="O63" s="27">
        <f t="shared" si="2"/>
        <v>29272.9</v>
      </c>
      <c r="P63" s="27">
        <v>29272.9</v>
      </c>
      <c r="Q63" s="27"/>
      <c r="R63" s="31">
        <f t="shared" si="3"/>
        <v>34958.700000000004</v>
      </c>
    </row>
    <row r="64" spans="1:18" ht="15" customHeight="1">
      <c r="A64" s="24">
        <v>31</v>
      </c>
      <c r="B64" s="23" t="s">
        <v>55</v>
      </c>
      <c r="C64" s="24" t="s">
        <v>18</v>
      </c>
      <c r="D64" s="23"/>
      <c r="E64" s="23" t="s">
        <v>19</v>
      </c>
      <c r="F64" s="23" t="s">
        <v>400</v>
      </c>
      <c r="G64" s="23" t="s">
        <v>142</v>
      </c>
      <c r="H64" s="25">
        <v>13</v>
      </c>
      <c r="I64" s="1">
        <v>12</v>
      </c>
      <c r="J64" s="26">
        <v>16</v>
      </c>
      <c r="K64" s="27">
        <f t="shared" si="1"/>
        <v>20736.11</v>
      </c>
      <c r="L64" s="27">
        <v>20736.11</v>
      </c>
      <c r="M64" s="27"/>
      <c r="N64" s="1">
        <v>23</v>
      </c>
      <c r="O64" s="27">
        <f t="shared" si="2"/>
        <v>26863.22</v>
      </c>
      <c r="P64" s="27">
        <v>26863.22</v>
      </c>
      <c r="Q64" s="27"/>
      <c r="R64" s="31">
        <f t="shared" si="3"/>
        <v>47599.33</v>
      </c>
    </row>
    <row r="65" spans="1:18" ht="15.6" customHeight="1">
      <c r="A65" s="24"/>
      <c r="B65" s="23" t="s">
        <v>55</v>
      </c>
      <c r="C65" s="24" t="s">
        <v>18</v>
      </c>
      <c r="D65" s="23"/>
      <c r="E65" s="23" t="s">
        <v>19</v>
      </c>
      <c r="F65" s="23" t="s">
        <v>352</v>
      </c>
      <c r="G65" s="23" t="s">
        <v>122</v>
      </c>
      <c r="H65" s="25">
        <v>13</v>
      </c>
      <c r="I65" s="1">
        <v>8</v>
      </c>
      <c r="J65" s="26">
        <v>8</v>
      </c>
      <c r="K65" s="27">
        <f t="shared" si="1"/>
        <v>10924.4</v>
      </c>
      <c r="L65" s="27">
        <v>10924.4</v>
      </c>
      <c r="M65" s="27"/>
      <c r="N65" s="1">
        <v>19</v>
      </c>
      <c r="O65" s="27">
        <f t="shared" si="2"/>
        <v>51996.62</v>
      </c>
      <c r="P65" s="27">
        <v>51996.62</v>
      </c>
      <c r="Q65" s="27"/>
      <c r="R65" s="31">
        <f t="shared" si="3"/>
        <v>62921.020000000004</v>
      </c>
    </row>
    <row r="66" spans="1:18" ht="15" customHeight="1">
      <c r="A66" s="24">
        <v>32</v>
      </c>
      <c r="B66" s="23" t="s">
        <v>56</v>
      </c>
      <c r="C66" s="24" t="s">
        <v>52</v>
      </c>
      <c r="D66" s="23" t="s">
        <v>57</v>
      </c>
      <c r="E66" s="23" t="s">
        <v>19</v>
      </c>
      <c r="F66" s="23" t="s">
        <v>401</v>
      </c>
      <c r="G66" s="23" t="s">
        <v>142</v>
      </c>
      <c r="H66" s="25">
        <v>21</v>
      </c>
      <c r="I66" s="1">
        <v>16</v>
      </c>
      <c r="J66" s="26">
        <v>18</v>
      </c>
      <c r="K66" s="27">
        <f t="shared" si="1"/>
        <v>6395.62</v>
      </c>
      <c r="L66" s="27">
        <v>6395.62</v>
      </c>
      <c r="M66" s="27"/>
      <c r="N66" s="1">
        <v>10</v>
      </c>
      <c r="O66" s="27">
        <f t="shared" si="2"/>
        <v>11007.39</v>
      </c>
      <c r="P66" s="27">
        <v>11007.39</v>
      </c>
      <c r="Q66" s="27"/>
      <c r="R66" s="31">
        <f t="shared" si="3"/>
        <v>17403.009999999998</v>
      </c>
    </row>
    <row r="67" spans="1:18" ht="15" customHeight="1">
      <c r="A67" s="24">
        <v>33</v>
      </c>
      <c r="B67" s="23" t="s">
        <v>58</v>
      </c>
      <c r="C67" s="24" t="s">
        <v>18</v>
      </c>
      <c r="D67" s="23"/>
      <c r="E67" s="23" t="s">
        <v>19</v>
      </c>
      <c r="F67" s="23" t="s">
        <v>402</v>
      </c>
      <c r="G67" s="23" t="s">
        <v>142</v>
      </c>
      <c r="H67" s="25">
        <v>15</v>
      </c>
      <c r="I67" s="1">
        <v>12</v>
      </c>
      <c r="J67" s="26">
        <v>12</v>
      </c>
      <c r="K67" s="27">
        <f t="shared" si="1"/>
        <v>0</v>
      </c>
      <c r="L67" s="27"/>
      <c r="M67" s="27"/>
      <c r="N67" s="1">
        <v>9</v>
      </c>
      <c r="O67" s="27">
        <f t="shared" si="2"/>
        <v>100020.28</v>
      </c>
      <c r="P67" s="27">
        <v>100020.28</v>
      </c>
      <c r="Q67" s="27"/>
      <c r="R67" s="31">
        <f t="shared" si="3"/>
        <v>100020.28</v>
      </c>
    </row>
    <row r="68" spans="1:18" ht="15" customHeight="1">
      <c r="A68" s="24"/>
      <c r="B68" s="23" t="s">
        <v>58</v>
      </c>
      <c r="C68" s="24" t="s">
        <v>18</v>
      </c>
      <c r="D68" s="23"/>
      <c r="E68" s="23" t="s">
        <v>19</v>
      </c>
      <c r="F68" s="23" t="s">
        <v>451</v>
      </c>
      <c r="G68" s="23" t="s">
        <v>122</v>
      </c>
      <c r="H68" s="25">
        <v>2</v>
      </c>
      <c r="I68" s="1">
        <v>1</v>
      </c>
      <c r="J68" s="26">
        <v>1</v>
      </c>
      <c r="K68" s="27">
        <f t="shared" si="1"/>
        <v>0</v>
      </c>
      <c r="L68" s="27"/>
      <c r="M68" s="27"/>
      <c r="N68" s="1">
        <v>4</v>
      </c>
      <c r="O68" s="27">
        <f t="shared" si="2"/>
        <v>8772.65</v>
      </c>
      <c r="P68" s="27">
        <v>8772.65</v>
      </c>
      <c r="Q68" s="27"/>
      <c r="R68" s="31">
        <f t="shared" si="3"/>
        <v>8772.65</v>
      </c>
    </row>
    <row r="69" spans="1:18" ht="15" customHeight="1">
      <c r="A69" s="24">
        <v>34</v>
      </c>
      <c r="B69" s="23" t="s">
        <v>59</v>
      </c>
      <c r="C69" s="24" t="s">
        <v>18</v>
      </c>
      <c r="D69" s="23"/>
      <c r="E69" s="23" t="s">
        <v>60</v>
      </c>
      <c r="F69" s="23" t="s">
        <v>403</v>
      </c>
      <c r="G69" s="23" t="s">
        <v>142</v>
      </c>
      <c r="H69" s="25">
        <v>23</v>
      </c>
      <c r="I69" s="1">
        <v>9</v>
      </c>
      <c r="J69" s="26">
        <v>11</v>
      </c>
      <c r="K69" s="27">
        <f t="shared" si="1"/>
        <v>1399.0300000000002</v>
      </c>
      <c r="L69" s="27">
        <f>1046.63+352.4</f>
        <v>1399.0300000000002</v>
      </c>
      <c r="M69" s="27"/>
      <c r="N69" s="1">
        <v>10</v>
      </c>
      <c r="O69" s="27">
        <f t="shared" si="2"/>
        <v>8807.2000000000007</v>
      </c>
      <c r="P69" s="27">
        <f>6874.29+1932.91</f>
        <v>8807.2000000000007</v>
      </c>
      <c r="Q69" s="27"/>
      <c r="R69" s="31">
        <f t="shared" si="3"/>
        <v>10206.230000000001</v>
      </c>
    </row>
    <row r="70" spans="1:18" ht="15" customHeight="1">
      <c r="A70" s="24"/>
      <c r="B70" s="23" t="s">
        <v>139</v>
      </c>
      <c r="C70" s="24" t="s">
        <v>18</v>
      </c>
      <c r="D70" s="23"/>
      <c r="E70" s="23" t="s">
        <v>60</v>
      </c>
      <c r="F70" s="23" t="s">
        <v>362</v>
      </c>
      <c r="G70" s="23" t="s">
        <v>136</v>
      </c>
      <c r="H70" s="25">
        <v>12</v>
      </c>
      <c r="I70" s="2">
        <v>4</v>
      </c>
      <c r="J70" s="26">
        <v>4</v>
      </c>
      <c r="K70" s="27">
        <f t="shared" si="1"/>
        <v>3171.6</v>
      </c>
      <c r="L70" s="27">
        <v>3171.6</v>
      </c>
      <c r="M70" s="27"/>
      <c r="N70" s="2">
        <v>6</v>
      </c>
      <c r="O70" s="27">
        <f t="shared" si="2"/>
        <v>6756.51</v>
      </c>
      <c r="P70" s="27">
        <v>6756.51</v>
      </c>
      <c r="Q70" s="27"/>
      <c r="R70" s="31">
        <f t="shared" si="3"/>
        <v>9928.11</v>
      </c>
    </row>
    <row r="71" spans="1:18" ht="15" customHeight="1">
      <c r="A71" s="24">
        <v>35</v>
      </c>
      <c r="B71" s="23" t="s">
        <v>333</v>
      </c>
      <c r="C71" s="24" t="s">
        <v>18</v>
      </c>
      <c r="D71" s="23"/>
      <c r="E71" s="23" t="s">
        <v>104</v>
      </c>
      <c r="F71" s="23" t="s">
        <v>404</v>
      </c>
      <c r="G71" s="23" t="s">
        <v>142</v>
      </c>
      <c r="H71" s="25">
        <v>30</v>
      </c>
      <c r="I71" s="2">
        <v>21</v>
      </c>
      <c r="J71" s="26">
        <v>22</v>
      </c>
      <c r="K71" s="27">
        <f t="shared" si="1"/>
        <v>4250.83</v>
      </c>
      <c r="L71" s="27">
        <f>3127.55+1123.28</f>
        <v>4250.83</v>
      </c>
      <c r="M71" s="27"/>
      <c r="N71" s="2"/>
      <c r="O71" s="27">
        <f t="shared" si="2"/>
        <v>0</v>
      </c>
      <c r="P71" s="27"/>
      <c r="Q71" s="27"/>
      <c r="R71" s="31">
        <f t="shared" si="3"/>
        <v>4250.83</v>
      </c>
    </row>
    <row r="72" spans="1:18" ht="15" customHeight="1">
      <c r="A72" s="24">
        <v>36</v>
      </c>
      <c r="B72" s="23" t="s">
        <v>61</v>
      </c>
      <c r="C72" s="24" t="s">
        <v>18</v>
      </c>
      <c r="D72" s="23"/>
      <c r="E72" s="23" t="s">
        <v>41</v>
      </c>
      <c r="F72" s="23" t="s">
        <v>405</v>
      </c>
      <c r="G72" s="23" t="s">
        <v>142</v>
      </c>
      <c r="H72" s="25">
        <v>40</v>
      </c>
      <c r="I72" s="1">
        <v>22</v>
      </c>
      <c r="J72" s="26">
        <v>23</v>
      </c>
      <c r="K72" s="27">
        <f t="shared" si="1"/>
        <v>12414.92</v>
      </c>
      <c r="L72" s="27">
        <v>12414.92</v>
      </c>
      <c r="M72" s="27"/>
      <c r="N72" s="1">
        <v>21</v>
      </c>
      <c r="O72" s="27">
        <f t="shared" si="2"/>
        <v>112152.42000000001</v>
      </c>
      <c r="P72" s="27">
        <f>109028.82+3123.6</f>
        <v>112152.42000000001</v>
      </c>
      <c r="Q72" s="27"/>
      <c r="R72" s="31">
        <f t="shared" si="3"/>
        <v>124567.34000000001</v>
      </c>
    </row>
    <row r="73" spans="1:18" ht="15" customHeight="1">
      <c r="A73" s="24"/>
      <c r="B73" s="23" t="s">
        <v>61</v>
      </c>
      <c r="C73" s="24" t="s">
        <v>18</v>
      </c>
      <c r="D73" s="23"/>
      <c r="E73" s="23" t="s">
        <v>41</v>
      </c>
      <c r="F73" s="23" t="s">
        <v>292</v>
      </c>
      <c r="G73" s="23" t="s">
        <v>136</v>
      </c>
      <c r="H73" s="25">
        <v>0</v>
      </c>
      <c r="I73" s="2"/>
      <c r="J73" s="26"/>
      <c r="K73" s="27">
        <f t="shared" si="1"/>
        <v>0</v>
      </c>
      <c r="L73" s="27"/>
      <c r="M73" s="27"/>
      <c r="N73" s="2"/>
      <c r="O73" s="27">
        <f t="shared" si="2"/>
        <v>0</v>
      </c>
      <c r="P73" s="27"/>
      <c r="Q73" s="27"/>
      <c r="R73" s="31">
        <f t="shared" si="3"/>
        <v>0</v>
      </c>
    </row>
    <row r="74" spans="1:18" ht="15" customHeight="1">
      <c r="A74" s="24">
        <v>37</v>
      </c>
      <c r="B74" s="23" t="s">
        <v>62</v>
      </c>
      <c r="C74" s="24" t="s">
        <v>18</v>
      </c>
      <c r="D74" s="23"/>
      <c r="E74" s="23" t="s">
        <v>19</v>
      </c>
      <c r="F74" s="23" t="s">
        <v>406</v>
      </c>
      <c r="G74" s="23" t="s">
        <v>142</v>
      </c>
      <c r="H74" s="25">
        <v>41</v>
      </c>
      <c r="I74" s="1">
        <v>33</v>
      </c>
      <c r="J74" s="26">
        <v>34</v>
      </c>
      <c r="K74" s="27">
        <f t="shared" si="1"/>
        <v>24129.81</v>
      </c>
      <c r="L74" s="27">
        <v>24129.81</v>
      </c>
      <c r="M74" s="27"/>
      <c r="N74" s="1">
        <v>9</v>
      </c>
      <c r="O74" s="27">
        <f t="shared" si="2"/>
        <v>31150.39</v>
      </c>
      <c r="P74" s="27">
        <v>31150.39</v>
      </c>
      <c r="Q74" s="27"/>
      <c r="R74" s="31">
        <f t="shared" si="3"/>
        <v>55280.2</v>
      </c>
    </row>
    <row r="75" spans="1:1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491</v>
      </c>
      <c r="G75" s="23" t="s">
        <v>124</v>
      </c>
      <c r="H75" s="25">
        <v>3</v>
      </c>
      <c r="I75" s="1"/>
      <c r="J75" s="26"/>
      <c r="K75" s="27">
        <f t="shared" ref="K75:K138" si="4">L75+M75</f>
        <v>0</v>
      </c>
      <c r="L75" s="27"/>
      <c r="M75" s="27"/>
      <c r="N75" s="1">
        <v>1</v>
      </c>
      <c r="O75" s="27">
        <f t="shared" ref="O75:O138" si="5">P75+Q75</f>
        <v>2146.4</v>
      </c>
      <c r="P75" s="27">
        <v>2146.4</v>
      </c>
      <c r="Q75" s="27"/>
      <c r="R75" s="31">
        <f t="shared" ref="R75:R138" si="6">L75+P75</f>
        <v>2146.4</v>
      </c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452</v>
      </c>
      <c r="G76" s="23" t="s">
        <v>122</v>
      </c>
      <c r="H76" s="25">
        <v>12</v>
      </c>
      <c r="I76" s="1">
        <v>2</v>
      </c>
      <c r="J76" s="26">
        <v>2</v>
      </c>
      <c r="K76" s="27">
        <f t="shared" si="4"/>
        <v>6200.7</v>
      </c>
      <c r="L76" s="27">
        <v>6200.7</v>
      </c>
      <c r="M76" s="27"/>
      <c r="N76" s="1">
        <v>9</v>
      </c>
      <c r="O76" s="27">
        <f t="shared" si="5"/>
        <v>42935.74</v>
      </c>
      <c r="P76" s="27">
        <v>42935.74</v>
      </c>
      <c r="Q76" s="27"/>
      <c r="R76" s="31">
        <f t="shared" si="6"/>
        <v>49136.439999999995</v>
      </c>
    </row>
    <row r="77" spans="1:18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472</v>
      </c>
      <c r="G77" s="23" t="s">
        <v>210</v>
      </c>
      <c r="H77" s="25">
        <v>4</v>
      </c>
      <c r="I77" s="1">
        <v>2</v>
      </c>
      <c r="J77" s="26">
        <v>2</v>
      </c>
      <c r="K77" s="27">
        <f t="shared" si="4"/>
        <v>0</v>
      </c>
      <c r="L77" s="27"/>
      <c r="M77" s="27"/>
      <c r="N77" s="1">
        <v>10</v>
      </c>
      <c r="O77" s="27">
        <f t="shared" si="5"/>
        <v>10370.91</v>
      </c>
      <c r="P77" s="27">
        <v>10370.91</v>
      </c>
      <c r="Q77" s="27"/>
      <c r="R77" s="31">
        <f t="shared" si="6"/>
        <v>10370.91</v>
      </c>
    </row>
    <row r="78" spans="1:18" ht="15" customHeight="1">
      <c r="A78" s="24">
        <v>38</v>
      </c>
      <c r="B78" s="23" t="s">
        <v>63</v>
      </c>
      <c r="C78" s="24" t="s">
        <v>18</v>
      </c>
      <c r="D78" s="23"/>
      <c r="E78" s="23" t="s">
        <v>41</v>
      </c>
      <c r="F78" s="23" t="s">
        <v>407</v>
      </c>
      <c r="G78" s="23" t="s">
        <v>142</v>
      </c>
      <c r="H78" s="25">
        <v>20</v>
      </c>
      <c r="I78" s="1">
        <v>13</v>
      </c>
      <c r="J78" s="26">
        <v>13</v>
      </c>
      <c r="K78" s="27">
        <f t="shared" si="4"/>
        <v>9195</v>
      </c>
      <c r="L78" s="27">
        <f>4400.6+4794.4</f>
        <v>9195</v>
      </c>
      <c r="M78" s="27"/>
      <c r="N78" s="1">
        <v>17</v>
      </c>
      <c r="O78" s="27">
        <f t="shared" si="5"/>
        <v>67887.14</v>
      </c>
      <c r="P78" s="27">
        <v>67887.14</v>
      </c>
      <c r="Q78" s="27"/>
      <c r="R78" s="31">
        <f t="shared" si="6"/>
        <v>77082.14</v>
      </c>
    </row>
    <row r="79" spans="1:18" ht="15" customHeight="1">
      <c r="A79" s="24"/>
      <c r="B79" s="23" t="s">
        <v>63</v>
      </c>
      <c r="C79" s="24" t="s">
        <v>18</v>
      </c>
      <c r="D79" s="23"/>
      <c r="E79" s="23" t="s">
        <v>41</v>
      </c>
      <c r="F79" s="23" t="s">
        <v>363</v>
      </c>
      <c r="G79" s="23" t="s">
        <v>136</v>
      </c>
      <c r="H79" s="25">
        <v>23</v>
      </c>
      <c r="I79" s="2"/>
      <c r="J79" s="26"/>
      <c r="K79" s="27">
        <f t="shared" si="4"/>
        <v>6343.2</v>
      </c>
      <c r="L79" s="27">
        <v>6343.2</v>
      </c>
      <c r="M79" s="27"/>
      <c r="N79" s="2">
        <v>13</v>
      </c>
      <c r="O79" s="27">
        <f t="shared" si="5"/>
        <v>59901.36</v>
      </c>
      <c r="P79" s="27">
        <v>59901.36</v>
      </c>
      <c r="Q79" s="27"/>
      <c r="R79" s="31">
        <f t="shared" si="6"/>
        <v>66244.56</v>
      </c>
    </row>
    <row r="80" spans="1:18" ht="15" customHeight="1">
      <c r="A80" s="24">
        <v>39</v>
      </c>
      <c r="B80" s="23" t="s">
        <v>64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0</v>
      </c>
      <c r="I80" s="2"/>
      <c r="J80" s="26"/>
      <c r="K80" s="27">
        <f t="shared" si="4"/>
        <v>0</v>
      </c>
      <c r="L80" s="27"/>
      <c r="M80" s="27"/>
      <c r="N80" s="2">
        <v>6</v>
      </c>
      <c r="O80" s="27">
        <f t="shared" si="5"/>
        <v>10043.4</v>
      </c>
      <c r="P80" s="27">
        <v>10043.4</v>
      </c>
      <c r="Q80" s="27"/>
      <c r="R80" s="31">
        <f t="shared" si="6"/>
        <v>10043.4</v>
      </c>
    </row>
    <row r="81" spans="1:18" ht="15" customHeight="1">
      <c r="A81" s="24"/>
      <c r="B81" s="23" t="s">
        <v>64</v>
      </c>
      <c r="C81" s="24" t="s">
        <v>18</v>
      </c>
      <c r="D81" s="23"/>
      <c r="E81" s="23" t="s">
        <v>41</v>
      </c>
      <c r="F81" s="23" t="s">
        <v>351</v>
      </c>
      <c r="G81" s="23" t="s">
        <v>122</v>
      </c>
      <c r="H81" s="25">
        <v>11</v>
      </c>
      <c r="I81" s="1">
        <v>1</v>
      </c>
      <c r="J81" s="26">
        <v>1</v>
      </c>
      <c r="K81" s="27">
        <f t="shared" si="4"/>
        <v>0</v>
      </c>
      <c r="L81" s="27"/>
      <c r="M81" s="27"/>
      <c r="N81" s="1">
        <v>13</v>
      </c>
      <c r="O81" s="27">
        <f t="shared" si="5"/>
        <v>16465.599999999999</v>
      </c>
      <c r="P81" s="27">
        <v>16465.599999999999</v>
      </c>
      <c r="Q81" s="27"/>
      <c r="R81" s="31">
        <f t="shared" si="6"/>
        <v>16465.599999999999</v>
      </c>
    </row>
    <row r="82" spans="1:18" ht="15" customHeight="1">
      <c r="A82" s="24">
        <v>40</v>
      </c>
      <c r="B82" s="23" t="s">
        <v>458</v>
      </c>
      <c r="C82" s="24" t="s">
        <v>18</v>
      </c>
      <c r="D82" s="23"/>
      <c r="E82" s="23" t="s">
        <v>104</v>
      </c>
      <c r="F82" s="23" t="s">
        <v>463</v>
      </c>
      <c r="G82" s="23" t="s">
        <v>142</v>
      </c>
      <c r="H82" s="25">
        <v>21</v>
      </c>
      <c r="I82" s="1">
        <v>14</v>
      </c>
      <c r="J82" s="26">
        <v>14</v>
      </c>
      <c r="K82" s="27">
        <f t="shared" si="4"/>
        <v>0</v>
      </c>
      <c r="L82" s="27"/>
      <c r="M82" s="27"/>
      <c r="N82" s="1"/>
      <c r="O82" s="27">
        <f t="shared" si="5"/>
        <v>0</v>
      </c>
      <c r="P82" s="27"/>
      <c r="Q82" s="27"/>
      <c r="R82" s="31">
        <f t="shared" si="6"/>
        <v>0</v>
      </c>
    </row>
    <row r="83" spans="1:18" ht="15" customHeight="1">
      <c r="A83" s="24"/>
      <c r="B83" s="23" t="s">
        <v>458</v>
      </c>
      <c r="C83" s="24" t="s">
        <v>18</v>
      </c>
      <c r="D83" s="23"/>
      <c r="E83" s="23" t="s">
        <v>104</v>
      </c>
      <c r="F83" s="23" t="s">
        <v>459</v>
      </c>
      <c r="G83" s="23" t="s">
        <v>122</v>
      </c>
      <c r="H83" s="25">
        <v>11</v>
      </c>
      <c r="I83" s="1"/>
      <c r="J83" s="26"/>
      <c r="K83" s="27">
        <f t="shared" si="4"/>
        <v>0</v>
      </c>
      <c r="L83" s="27"/>
      <c r="M83" s="27"/>
      <c r="N83" s="1"/>
      <c r="O83" s="27">
        <f t="shared" si="5"/>
        <v>0</v>
      </c>
      <c r="P83" s="27"/>
      <c r="Q83" s="27"/>
      <c r="R83" s="31">
        <f t="shared" si="6"/>
        <v>0</v>
      </c>
    </row>
    <row r="84" spans="1:18" ht="15" customHeight="1">
      <c r="A84" s="24">
        <v>41</v>
      </c>
      <c r="B84" s="23" t="s">
        <v>238</v>
      </c>
      <c r="C84" s="24" t="s">
        <v>18</v>
      </c>
      <c r="D84" s="23"/>
      <c r="E84" s="23" t="s">
        <v>41</v>
      </c>
      <c r="F84" s="23" t="s">
        <v>408</v>
      </c>
      <c r="G84" s="23" t="s">
        <v>142</v>
      </c>
      <c r="H84" s="25">
        <v>79</v>
      </c>
      <c r="I84" s="1">
        <v>42</v>
      </c>
      <c r="J84" s="26">
        <v>42</v>
      </c>
      <c r="K84" s="27">
        <f t="shared" si="4"/>
        <v>47012.42</v>
      </c>
      <c r="L84" s="27">
        <v>47012.42</v>
      </c>
      <c r="M84" s="27"/>
      <c r="N84" s="1">
        <v>3</v>
      </c>
      <c r="O84" s="27">
        <f t="shared" si="5"/>
        <v>12511.380000000001</v>
      </c>
      <c r="P84" s="27">
        <f>9777.93+2733.45</f>
        <v>12511.380000000001</v>
      </c>
      <c r="Q84" s="27"/>
      <c r="R84" s="31">
        <f t="shared" si="6"/>
        <v>59523.8</v>
      </c>
    </row>
    <row r="85" spans="1:18" ht="15" customHeight="1">
      <c r="A85" s="41">
        <v>42</v>
      </c>
      <c r="B85" s="37" t="s">
        <v>486</v>
      </c>
      <c r="C85" s="41" t="s">
        <v>18</v>
      </c>
      <c r="D85" s="37"/>
      <c r="E85" s="37" t="s">
        <v>488</v>
      </c>
      <c r="F85" s="37" t="s">
        <v>268</v>
      </c>
      <c r="G85" s="37" t="s">
        <v>131</v>
      </c>
      <c r="H85" s="42">
        <v>6</v>
      </c>
      <c r="I85" s="40"/>
      <c r="J85" s="43"/>
      <c r="K85" s="27">
        <f t="shared" si="4"/>
        <v>0</v>
      </c>
      <c r="L85" s="39"/>
      <c r="M85" s="39"/>
      <c r="N85" s="40"/>
      <c r="O85" s="27">
        <f t="shared" si="5"/>
        <v>0</v>
      </c>
      <c r="P85" s="39"/>
      <c r="Q85" s="39"/>
      <c r="R85" s="31">
        <f t="shared" si="6"/>
        <v>0</v>
      </c>
    </row>
    <row r="86" spans="1:18" ht="15" customHeight="1">
      <c r="A86" s="24">
        <v>43</v>
      </c>
      <c r="B86" s="23" t="s">
        <v>65</v>
      </c>
      <c r="C86" s="24" t="s">
        <v>18</v>
      </c>
      <c r="D86" s="23"/>
      <c r="E86" s="23" t="s">
        <v>66</v>
      </c>
      <c r="F86" s="23" t="s">
        <v>409</v>
      </c>
      <c r="G86" s="23" t="s">
        <v>142</v>
      </c>
      <c r="H86" s="25">
        <v>13</v>
      </c>
      <c r="I86" s="1">
        <v>4</v>
      </c>
      <c r="J86" s="26">
        <v>6</v>
      </c>
      <c r="K86" s="27">
        <f t="shared" si="4"/>
        <v>8041.41</v>
      </c>
      <c r="L86" s="27">
        <v>8041.41</v>
      </c>
      <c r="M86" s="27"/>
      <c r="N86" s="1">
        <v>14</v>
      </c>
      <c r="O86" s="27">
        <f t="shared" si="5"/>
        <v>10572.76</v>
      </c>
      <c r="P86" s="27">
        <v>10572.76</v>
      </c>
      <c r="Q86" s="27"/>
      <c r="R86" s="31">
        <f t="shared" si="6"/>
        <v>18614.169999999998</v>
      </c>
    </row>
    <row r="87" spans="1:18" ht="15" customHeight="1">
      <c r="A87" s="24"/>
      <c r="B87" s="23" t="s">
        <v>65</v>
      </c>
      <c r="C87" s="24" t="s">
        <v>18</v>
      </c>
      <c r="D87" s="23"/>
      <c r="E87" s="23" t="s">
        <v>66</v>
      </c>
      <c r="F87" s="23" t="s">
        <v>123</v>
      </c>
      <c r="G87" s="23" t="s">
        <v>136</v>
      </c>
      <c r="H87" s="25">
        <v>0</v>
      </c>
      <c r="I87" s="2"/>
      <c r="J87" s="26"/>
      <c r="K87" s="27">
        <f t="shared" si="4"/>
        <v>0</v>
      </c>
      <c r="L87" s="27"/>
      <c r="M87" s="27"/>
      <c r="N87" s="2"/>
      <c r="O87" s="27">
        <f t="shared" si="5"/>
        <v>0</v>
      </c>
      <c r="P87" s="27"/>
      <c r="Q87" s="27"/>
      <c r="R87" s="31">
        <f t="shared" si="6"/>
        <v>0</v>
      </c>
    </row>
    <row r="88" spans="1:18" ht="15" customHeight="1">
      <c r="A88" s="24">
        <v>44</v>
      </c>
      <c r="B88" s="23" t="s">
        <v>67</v>
      </c>
      <c r="C88" s="24" t="s">
        <v>18</v>
      </c>
      <c r="D88" s="23"/>
      <c r="E88" s="23" t="s">
        <v>19</v>
      </c>
      <c r="F88" s="23" t="s">
        <v>410</v>
      </c>
      <c r="G88" s="23" t="s">
        <v>142</v>
      </c>
      <c r="H88" s="25">
        <v>40</v>
      </c>
      <c r="I88" s="1">
        <v>38</v>
      </c>
      <c r="J88" s="26">
        <v>39</v>
      </c>
      <c r="K88" s="27">
        <f t="shared" si="4"/>
        <v>34327.040000000001</v>
      </c>
      <c r="L88" s="27">
        <v>34327.040000000001</v>
      </c>
      <c r="M88" s="27"/>
      <c r="N88" s="1">
        <v>15</v>
      </c>
      <c r="O88" s="27">
        <f t="shared" si="5"/>
        <v>28719.49</v>
      </c>
      <c r="P88" s="27">
        <v>28719.49</v>
      </c>
      <c r="Q88" s="27"/>
      <c r="R88" s="31">
        <f t="shared" si="6"/>
        <v>63046.53</v>
      </c>
    </row>
    <row r="89" spans="1:18" ht="15" customHeight="1">
      <c r="A89" s="24"/>
      <c r="B89" s="23" t="s">
        <v>67</v>
      </c>
      <c r="C89" s="24" t="s">
        <v>18</v>
      </c>
      <c r="D89" s="23"/>
      <c r="E89" s="23" t="s">
        <v>104</v>
      </c>
      <c r="F89" s="23" t="s">
        <v>123</v>
      </c>
      <c r="G89" s="23" t="s">
        <v>122</v>
      </c>
      <c r="H89" s="25">
        <v>0</v>
      </c>
      <c r="I89" s="1"/>
      <c r="J89" s="26"/>
      <c r="K89" s="27">
        <f t="shared" si="4"/>
        <v>0</v>
      </c>
      <c r="L89" s="27"/>
      <c r="M89" s="27"/>
      <c r="N89" s="1"/>
      <c r="O89" s="27">
        <f t="shared" si="5"/>
        <v>0</v>
      </c>
      <c r="P89" s="27"/>
      <c r="Q89" s="27"/>
      <c r="R89" s="31">
        <f t="shared" si="6"/>
        <v>0</v>
      </c>
    </row>
    <row r="90" spans="1:18" ht="15" customHeight="1">
      <c r="A90" s="24">
        <v>45</v>
      </c>
      <c r="B90" s="23" t="s">
        <v>68</v>
      </c>
      <c r="C90" s="24" t="s">
        <v>18</v>
      </c>
      <c r="D90" s="24"/>
      <c r="E90" s="23" t="s">
        <v>50</v>
      </c>
      <c r="F90" s="23" t="s">
        <v>411</v>
      </c>
      <c r="G90" s="23" t="s">
        <v>142</v>
      </c>
      <c r="H90" s="25">
        <v>10</v>
      </c>
      <c r="I90" s="1"/>
      <c r="J90" s="26"/>
      <c r="K90" s="27">
        <f t="shared" si="4"/>
        <v>0</v>
      </c>
      <c r="L90" s="27"/>
      <c r="M90" s="27"/>
      <c r="N90" s="1"/>
      <c r="O90" s="27">
        <f t="shared" si="5"/>
        <v>0</v>
      </c>
      <c r="P90" s="27"/>
      <c r="Q90" s="27"/>
      <c r="R90" s="31">
        <f t="shared" si="6"/>
        <v>0</v>
      </c>
    </row>
    <row r="91" spans="1:18" ht="15" customHeight="1">
      <c r="A91" s="24"/>
      <c r="B91" s="23" t="s">
        <v>68</v>
      </c>
      <c r="C91" s="24" t="s">
        <v>18</v>
      </c>
      <c r="D91" s="23"/>
      <c r="E91" s="23" t="s">
        <v>50</v>
      </c>
      <c r="F91" s="23" t="s">
        <v>123</v>
      </c>
      <c r="G91" s="23" t="s">
        <v>136</v>
      </c>
      <c r="H91" s="25">
        <v>0</v>
      </c>
      <c r="I91" s="2"/>
      <c r="J91" s="26"/>
      <c r="K91" s="27">
        <f t="shared" si="4"/>
        <v>0</v>
      </c>
      <c r="L91" s="27"/>
      <c r="M91" s="27"/>
      <c r="N91" s="2"/>
      <c r="O91" s="27">
        <f t="shared" si="5"/>
        <v>0</v>
      </c>
      <c r="P91" s="27"/>
      <c r="Q91" s="27"/>
      <c r="R91" s="31">
        <f t="shared" si="6"/>
        <v>0</v>
      </c>
    </row>
    <row r="92" spans="1:18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292</v>
      </c>
      <c r="G92" s="23" t="s">
        <v>124</v>
      </c>
      <c r="H92" s="25">
        <v>0</v>
      </c>
      <c r="I92" s="2"/>
      <c r="J92" s="26"/>
      <c r="K92" s="27">
        <f t="shared" si="4"/>
        <v>0</v>
      </c>
      <c r="L92" s="27"/>
      <c r="M92" s="27"/>
      <c r="N92" s="2"/>
      <c r="O92" s="27">
        <f t="shared" si="5"/>
        <v>0</v>
      </c>
      <c r="P92" s="27"/>
      <c r="Q92" s="27"/>
      <c r="R92" s="31">
        <f t="shared" si="6"/>
        <v>0</v>
      </c>
    </row>
    <row r="93" spans="1:18" ht="15" customHeight="1">
      <c r="A93" s="24">
        <v>46</v>
      </c>
      <c r="B93" s="23" t="s">
        <v>127</v>
      </c>
      <c r="C93" s="24" t="s">
        <v>18</v>
      </c>
      <c r="D93" s="23"/>
      <c r="E93" s="23" t="s">
        <v>41</v>
      </c>
      <c r="F93" s="23" t="s">
        <v>412</v>
      </c>
      <c r="G93" s="23" t="s">
        <v>142</v>
      </c>
      <c r="H93" s="25">
        <v>15</v>
      </c>
      <c r="I93" s="2">
        <v>9</v>
      </c>
      <c r="J93" s="26">
        <v>10</v>
      </c>
      <c r="K93" s="27">
        <f t="shared" si="4"/>
        <v>10325.33</v>
      </c>
      <c r="L93" s="27">
        <v>10325.33</v>
      </c>
      <c r="M93" s="27"/>
      <c r="N93" s="2">
        <v>7</v>
      </c>
      <c r="O93" s="27">
        <f t="shared" si="5"/>
        <v>10757.419999999998</v>
      </c>
      <c r="P93" s="27">
        <f>4981.94+158.58+5616.9</f>
        <v>10757.419999999998</v>
      </c>
      <c r="Q93" s="27"/>
      <c r="R93" s="31">
        <f t="shared" si="6"/>
        <v>21082.75</v>
      </c>
    </row>
    <row r="94" spans="1:18" ht="15" customHeight="1">
      <c r="A94" s="24"/>
      <c r="B94" s="23" t="s">
        <v>127</v>
      </c>
      <c r="C94" s="24" t="s">
        <v>18</v>
      </c>
      <c r="D94" s="23"/>
      <c r="E94" s="23" t="s">
        <v>50</v>
      </c>
      <c r="F94" s="23" t="s">
        <v>364</v>
      </c>
      <c r="G94" s="23" t="s">
        <v>136</v>
      </c>
      <c r="H94" s="25">
        <v>11</v>
      </c>
      <c r="I94" s="2">
        <v>5</v>
      </c>
      <c r="J94" s="26">
        <v>5</v>
      </c>
      <c r="K94" s="27">
        <f t="shared" si="4"/>
        <v>6238.1</v>
      </c>
      <c r="L94" s="27">
        <v>6238.1</v>
      </c>
      <c r="M94" s="27"/>
      <c r="N94" s="2">
        <v>20</v>
      </c>
      <c r="O94" s="27">
        <f t="shared" si="5"/>
        <v>26350.31</v>
      </c>
      <c r="P94" s="27">
        <v>26350.31</v>
      </c>
      <c r="Q94" s="27"/>
      <c r="R94" s="31">
        <f t="shared" si="6"/>
        <v>32588.410000000003</v>
      </c>
    </row>
    <row r="95" spans="1:18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375</v>
      </c>
      <c r="G95" s="23" t="s">
        <v>124</v>
      </c>
      <c r="H95" s="25">
        <v>1</v>
      </c>
      <c r="I95" s="2">
        <v>1</v>
      </c>
      <c r="J95" s="26">
        <v>1</v>
      </c>
      <c r="K95" s="27">
        <f t="shared" si="4"/>
        <v>1288.7</v>
      </c>
      <c r="L95" s="27">
        <v>1288.7</v>
      </c>
      <c r="M95" s="27"/>
      <c r="N95" s="2">
        <v>3</v>
      </c>
      <c r="O95" s="27">
        <f t="shared" si="5"/>
        <v>616.70000000000005</v>
      </c>
      <c r="P95" s="27">
        <v>616.70000000000005</v>
      </c>
      <c r="Q95" s="27"/>
      <c r="R95" s="31">
        <f t="shared" si="6"/>
        <v>1905.4</v>
      </c>
    </row>
    <row r="96" spans="1:18" ht="15" customHeight="1">
      <c r="A96" s="74">
        <v>47</v>
      </c>
      <c r="B96" s="77" t="s">
        <v>69</v>
      </c>
      <c r="C96" s="74" t="s">
        <v>18</v>
      </c>
      <c r="D96" s="77"/>
      <c r="E96" s="77" t="s">
        <v>19</v>
      </c>
      <c r="F96" s="77" t="s">
        <v>292</v>
      </c>
      <c r="G96" s="77" t="s">
        <v>142</v>
      </c>
      <c r="H96" s="25">
        <v>0</v>
      </c>
      <c r="I96" s="1"/>
      <c r="J96" s="26"/>
      <c r="K96" s="27">
        <f t="shared" si="4"/>
        <v>0</v>
      </c>
      <c r="L96" s="27"/>
      <c r="M96" s="27"/>
      <c r="N96" s="1"/>
      <c r="O96" s="27">
        <f t="shared" si="5"/>
        <v>0</v>
      </c>
      <c r="P96" s="27"/>
      <c r="Q96" s="27"/>
      <c r="R96" s="31">
        <f t="shared" si="6"/>
        <v>0</v>
      </c>
    </row>
    <row r="97" spans="1:18" ht="15.75" customHeight="1">
      <c r="A97" s="74">
        <v>48</v>
      </c>
      <c r="B97" s="77" t="s">
        <v>70</v>
      </c>
      <c r="C97" s="74" t="s">
        <v>18</v>
      </c>
      <c r="D97" s="77"/>
      <c r="E97" s="77" t="s">
        <v>19</v>
      </c>
      <c r="F97" s="77" t="s">
        <v>413</v>
      </c>
      <c r="G97" s="77" t="s">
        <v>142</v>
      </c>
      <c r="H97" s="25">
        <v>13</v>
      </c>
      <c r="I97" s="1">
        <v>10</v>
      </c>
      <c r="J97" s="26">
        <v>10</v>
      </c>
      <c r="K97" s="27">
        <f t="shared" si="4"/>
        <v>6764.75</v>
      </c>
      <c r="L97" s="27">
        <f>2262.4+4502.35</f>
        <v>6764.75</v>
      </c>
      <c r="M97" s="27"/>
      <c r="N97" s="1">
        <v>7</v>
      </c>
      <c r="O97" s="27">
        <f t="shared" si="5"/>
        <v>23489.77</v>
      </c>
      <c r="P97" s="27">
        <v>23489.77</v>
      </c>
      <c r="Q97" s="27"/>
      <c r="R97" s="31">
        <f t="shared" si="6"/>
        <v>30254.52</v>
      </c>
    </row>
    <row r="98" spans="1:18" ht="15" customHeight="1">
      <c r="A98" s="74">
        <v>49</v>
      </c>
      <c r="B98" s="77" t="s">
        <v>71</v>
      </c>
      <c r="C98" s="74" t="s">
        <v>18</v>
      </c>
      <c r="D98" s="77"/>
      <c r="E98" s="77" t="s">
        <v>32</v>
      </c>
      <c r="F98" s="77" t="s">
        <v>292</v>
      </c>
      <c r="G98" s="77" t="s">
        <v>121</v>
      </c>
      <c r="H98" s="25">
        <v>0</v>
      </c>
      <c r="I98" s="1"/>
      <c r="J98" s="26"/>
      <c r="K98" s="27">
        <f t="shared" si="4"/>
        <v>0</v>
      </c>
      <c r="L98" s="27"/>
      <c r="M98" s="27"/>
      <c r="N98" s="1">
        <v>2</v>
      </c>
      <c r="O98" s="27">
        <f t="shared" si="5"/>
        <v>10878.949999999999</v>
      </c>
      <c r="P98" s="27">
        <v>10878.949999999999</v>
      </c>
      <c r="Q98" s="27"/>
      <c r="R98" s="31">
        <f t="shared" si="6"/>
        <v>10878.949999999999</v>
      </c>
    </row>
    <row r="99" spans="1:18" ht="15" customHeight="1">
      <c r="A99" s="24"/>
      <c r="B99" s="23" t="s">
        <v>71</v>
      </c>
      <c r="C99" s="24" t="s">
        <v>18</v>
      </c>
      <c r="D99" s="23"/>
      <c r="E99" s="23" t="s">
        <v>32</v>
      </c>
      <c r="F99" s="23" t="s">
        <v>292</v>
      </c>
      <c r="G99" s="23" t="s">
        <v>122</v>
      </c>
      <c r="H99" s="25">
        <v>0</v>
      </c>
      <c r="I99" s="1"/>
      <c r="J99" s="26"/>
      <c r="K99" s="27">
        <f t="shared" si="4"/>
        <v>0</v>
      </c>
      <c r="L99" s="27"/>
      <c r="M99" s="27"/>
      <c r="N99" s="1"/>
      <c r="O99" s="27">
        <f t="shared" si="5"/>
        <v>0</v>
      </c>
      <c r="P99" s="27"/>
      <c r="Q99" s="27"/>
      <c r="R99" s="31">
        <f t="shared" si="6"/>
        <v>0</v>
      </c>
    </row>
    <row r="100" spans="1:18" ht="15" customHeight="1">
      <c r="A100" s="24">
        <v>50</v>
      </c>
      <c r="B100" s="23" t="s">
        <v>72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1"/>
      <c r="J100" s="26"/>
      <c r="K100" s="27">
        <f t="shared" si="4"/>
        <v>0</v>
      </c>
      <c r="L100" s="27"/>
      <c r="M100" s="27"/>
      <c r="N100" s="1"/>
      <c r="O100" s="27">
        <f t="shared" si="5"/>
        <v>0</v>
      </c>
      <c r="P100" s="27"/>
      <c r="Q100" s="27"/>
      <c r="R100" s="31">
        <f t="shared" si="6"/>
        <v>0</v>
      </c>
    </row>
    <row r="101" spans="1:18" ht="15" customHeight="1">
      <c r="A101" s="24"/>
      <c r="B101" s="23" t="s">
        <v>72</v>
      </c>
      <c r="C101" s="24" t="s">
        <v>18</v>
      </c>
      <c r="D101" s="23"/>
      <c r="E101" s="23" t="s">
        <v>19</v>
      </c>
      <c r="F101" s="23" t="s">
        <v>292</v>
      </c>
      <c r="G101" s="23" t="s">
        <v>122</v>
      </c>
      <c r="H101" s="25">
        <v>0</v>
      </c>
      <c r="I101" s="1"/>
      <c r="J101" s="26"/>
      <c r="K101" s="27">
        <f t="shared" si="4"/>
        <v>0</v>
      </c>
      <c r="L101" s="27"/>
      <c r="M101" s="27"/>
      <c r="N101" s="1"/>
      <c r="O101" s="27">
        <f t="shared" si="5"/>
        <v>0</v>
      </c>
      <c r="P101" s="27"/>
      <c r="Q101" s="27"/>
      <c r="R101" s="31">
        <f t="shared" si="6"/>
        <v>0</v>
      </c>
    </row>
    <row r="102" spans="1:18" ht="15" customHeight="1">
      <c r="A102" s="24">
        <v>51</v>
      </c>
      <c r="B102" s="23" t="s">
        <v>73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4"/>
        <v>0</v>
      </c>
      <c r="L102" s="27"/>
      <c r="M102" s="27"/>
      <c r="N102" s="1"/>
      <c r="O102" s="27">
        <f t="shared" si="5"/>
        <v>0</v>
      </c>
      <c r="P102" s="27"/>
      <c r="Q102" s="27"/>
      <c r="R102" s="31">
        <f t="shared" si="6"/>
        <v>0</v>
      </c>
    </row>
    <row r="103" spans="1:18" ht="15" customHeight="1">
      <c r="A103" s="24">
        <v>52</v>
      </c>
      <c r="B103" s="23" t="s">
        <v>74</v>
      </c>
      <c r="C103" s="24" t="s">
        <v>18</v>
      </c>
      <c r="D103" s="23"/>
      <c r="E103" s="23" t="s">
        <v>19</v>
      </c>
      <c r="F103" s="23" t="s">
        <v>414</v>
      </c>
      <c r="G103" s="23" t="s">
        <v>142</v>
      </c>
      <c r="H103" s="25">
        <v>28</v>
      </c>
      <c r="I103" s="1">
        <v>19</v>
      </c>
      <c r="J103" s="26">
        <v>21</v>
      </c>
      <c r="K103" s="27">
        <f t="shared" si="4"/>
        <v>11380.77</v>
      </c>
      <c r="L103" s="27">
        <v>11380.77</v>
      </c>
      <c r="M103" s="27"/>
      <c r="N103" s="1">
        <v>10</v>
      </c>
      <c r="O103" s="27">
        <f t="shared" si="5"/>
        <v>34082.68</v>
      </c>
      <c r="P103" s="27">
        <v>34082.68</v>
      </c>
      <c r="Q103" s="27"/>
      <c r="R103" s="31">
        <f t="shared" si="6"/>
        <v>45463.45</v>
      </c>
    </row>
    <row r="104" spans="1:18" ht="15" customHeight="1">
      <c r="A104" s="24">
        <v>53</v>
      </c>
      <c r="B104" s="23" t="s">
        <v>312</v>
      </c>
      <c r="C104" s="24" t="s">
        <v>18</v>
      </c>
      <c r="D104" s="23"/>
      <c r="E104" s="23" t="s">
        <v>19</v>
      </c>
      <c r="F104" s="23" t="s">
        <v>415</v>
      </c>
      <c r="G104" s="23" t="s">
        <v>142</v>
      </c>
      <c r="H104" s="25">
        <v>17</v>
      </c>
      <c r="I104" s="1">
        <v>10</v>
      </c>
      <c r="J104" s="26">
        <v>10</v>
      </c>
      <c r="K104" s="27">
        <f t="shared" si="4"/>
        <v>19305.63</v>
      </c>
      <c r="L104" s="27">
        <v>19305.63</v>
      </c>
      <c r="M104" s="27"/>
      <c r="N104" s="1"/>
      <c r="O104" s="27">
        <f t="shared" si="5"/>
        <v>0</v>
      </c>
      <c r="P104" s="27"/>
      <c r="Q104" s="27"/>
      <c r="R104" s="31">
        <f t="shared" si="6"/>
        <v>19305.63</v>
      </c>
    </row>
    <row r="105" spans="1:18" ht="15" customHeight="1">
      <c r="A105" s="24"/>
      <c r="B105" s="23" t="s">
        <v>312</v>
      </c>
      <c r="C105" s="24" t="s">
        <v>18</v>
      </c>
      <c r="D105" s="23"/>
      <c r="E105" s="23" t="s">
        <v>304</v>
      </c>
      <c r="F105" s="23" t="s">
        <v>339</v>
      </c>
      <c r="G105" s="23" t="s">
        <v>131</v>
      </c>
      <c r="H105" s="25">
        <v>13</v>
      </c>
      <c r="I105" s="1">
        <v>3</v>
      </c>
      <c r="J105" s="26">
        <v>3</v>
      </c>
      <c r="K105" s="27">
        <f t="shared" si="4"/>
        <v>1057.2</v>
      </c>
      <c r="L105" s="27">
        <v>1057.2</v>
      </c>
      <c r="M105" s="27"/>
      <c r="N105" s="1"/>
      <c r="O105" s="27">
        <f t="shared" si="5"/>
        <v>0</v>
      </c>
      <c r="Q105" s="27"/>
      <c r="R105" s="31">
        <f t="shared" si="6"/>
        <v>1057.2</v>
      </c>
    </row>
    <row r="106" spans="1:18" ht="15" customHeight="1">
      <c r="A106" s="24"/>
      <c r="B106" s="23" t="s">
        <v>312</v>
      </c>
      <c r="C106" s="24" t="s">
        <v>18</v>
      </c>
      <c r="D106" s="23"/>
      <c r="E106" s="23" t="s">
        <v>41</v>
      </c>
      <c r="F106" s="23" t="s">
        <v>467</v>
      </c>
      <c r="G106" s="23" t="s">
        <v>136</v>
      </c>
      <c r="H106" s="25">
        <v>31</v>
      </c>
      <c r="I106" s="1">
        <v>1</v>
      </c>
      <c r="J106" s="26">
        <v>1</v>
      </c>
      <c r="K106" s="27">
        <f t="shared" si="4"/>
        <v>11333.46</v>
      </c>
      <c r="L106" s="27">
        <v>11333.46</v>
      </c>
      <c r="M106" s="27"/>
      <c r="N106" s="1"/>
      <c r="O106" s="27">
        <f t="shared" si="5"/>
        <v>0</v>
      </c>
      <c r="P106" s="27"/>
      <c r="Q106" s="27"/>
      <c r="R106" s="31">
        <f t="shared" si="6"/>
        <v>11333.46</v>
      </c>
    </row>
    <row r="107" spans="1:18" ht="15" customHeight="1">
      <c r="A107" s="24">
        <v>54</v>
      </c>
      <c r="B107" s="23" t="s">
        <v>75</v>
      </c>
      <c r="C107" s="24" t="s">
        <v>18</v>
      </c>
      <c r="D107" s="23"/>
      <c r="E107" s="23" t="s">
        <v>19</v>
      </c>
      <c r="F107" s="23" t="s">
        <v>416</v>
      </c>
      <c r="G107" s="23" t="s">
        <v>142</v>
      </c>
      <c r="H107" s="25">
        <v>19</v>
      </c>
      <c r="I107" s="1">
        <v>18</v>
      </c>
      <c r="J107" s="26">
        <v>22</v>
      </c>
      <c r="K107" s="27">
        <f t="shared" si="4"/>
        <v>10653.08</v>
      </c>
      <c r="L107" s="27">
        <v>10653.08</v>
      </c>
      <c r="M107" s="27"/>
      <c r="N107" s="1">
        <v>22</v>
      </c>
      <c r="O107" s="27">
        <f t="shared" si="5"/>
        <v>99634.14</v>
      </c>
      <c r="P107" s="27">
        <f>98217.49+1416.65</f>
        <v>99634.14</v>
      </c>
      <c r="Q107" s="27"/>
      <c r="R107" s="31">
        <f t="shared" si="6"/>
        <v>110287.22</v>
      </c>
    </row>
    <row r="108" spans="1:18" ht="13.15" customHeight="1">
      <c r="A108" s="24"/>
      <c r="B108" s="23" t="s">
        <v>75</v>
      </c>
      <c r="C108" s="24" t="s">
        <v>18</v>
      </c>
      <c r="D108" s="23"/>
      <c r="E108" s="23" t="s">
        <v>76</v>
      </c>
      <c r="F108" s="23" t="s">
        <v>335</v>
      </c>
      <c r="G108" s="23" t="s">
        <v>131</v>
      </c>
      <c r="H108" s="25">
        <v>29</v>
      </c>
      <c r="I108" s="1">
        <v>6</v>
      </c>
      <c r="J108" s="26">
        <v>6</v>
      </c>
      <c r="K108" s="27">
        <f t="shared" si="4"/>
        <v>0</v>
      </c>
      <c r="L108" s="27"/>
      <c r="M108" s="27"/>
      <c r="N108" s="1">
        <v>20</v>
      </c>
      <c r="O108" s="27">
        <f t="shared" si="5"/>
        <v>25590.400000000001</v>
      </c>
      <c r="P108" s="27">
        <v>25590.400000000001</v>
      </c>
      <c r="Q108" s="27"/>
      <c r="R108" s="31">
        <f t="shared" si="6"/>
        <v>25590.400000000001</v>
      </c>
    </row>
    <row r="109" spans="1:18" ht="15" customHeight="1">
      <c r="A109" s="24"/>
      <c r="B109" s="23" t="s">
        <v>140</v>
      </c>
      <c r="C109" s="24" t="s">
        <v>18</v>
      </c>
      <c r="D109" s="23"/>
      <c r="E109" s="23" t="s">
        <v>76</v>
      </c>
      <c r="F109" s="23" t="s">
        <v>377</v>
      </c>
      <c r="G109" s="23" t="s">
        <v>136</v>
      </c>
      <c r="H109" s="25">
        <v>28</v>
      </c>
      <c r="I109" s="2">
        <v>12</v>
      </c>
      <c r="J109" s="26">
        <v>12</v>
      </c>
      <c r="K109" s="27">
        <f t="shared" si="4"/>
        <v>8864.92</v>
      </c>
      <c r="L109" s="27">
        <v>8864.92</v>
      </c>
      <c r="M109" s="27"/>
      <c r="N109" s="2">
        <v>29</v>
      </c>
      <c r="O109" s="27">
        <f t="shared" si="5"/>
        <v>80550.14</v>
      </c>
      <c r="P109" s="35">
        <v>80550.14</v>
      </c>
      <c r="Q109" s="27"/>
      <c r="R109" s="31">
        <f t="shared" si="6"/>
        <v>89415.06</v>
      </c>
    </row>
    <row r="110" spans="1:18" ht="15" customHeight="1">
      <c r="A110" s="24">
        <v>55</v>
      </c>
      <c r="B110" s="23" t="s">
        <v>267</v>
      </c>
      <c r="C110" s="24" t="s">
        <v>18</v>
      </c>
      <c r="D110" s="23"/>
      <c r="E110" s="23" t="s">
        <v>19</v>
      </c>
      <c r="F110" s="23" t="s">
        <v>268</v>
      </c>
      <c r="G110" s="23" t="s">
        <v>142</v>
      </c>
      <c r="H110" s="25">
        <v>0</v>
      </c>
      <c r="I110" s="2"/>
      <c r="J110" s="26"/>
      <c r="K110" s="27">
        <f t="shared" si="4"/>
        <v>0</v>
      </c>
      <c r="L110" s="27"/>
      <c r="M110" s="27"/>
      <c r="N110" s="2"/>
      <c r="O110" s="27">
        <f t="shared" si="5"/>
        <v>0</v>
      </c>
      <c r="P110" s="27"/>
      <c r="Q110" s="27"/>
      <c r="R110" s="31">
        <f t="shared" si="6"/>
        <v>0</v>
      </c>
    </row>
    <row r="111" spans="1:18" ht="15" customHeight="1">
      <c r="A111" s="24"/>
      <c r="B111" s="23" t="s">
        <v>267</v>
      </c>
      <c r="C111" s="24" t="s">
        <v>18</v>
      </c>
      <c r="D111" s="23"/>
      <c r="E111" s="23" t="s">
        <v>19</v>
      </c>
      <c r="F111" s="23" t="s">
        <v>336</v>
      </c>
      <c r="G111" s="23" t="s">
        <v>131</v>
      </c>
      <c r="H111" s="25">
        <v>9</v>
      </c>
      <c r="I111" s="2">
        <v>1</v>
      </c>
      <c r="J111" s="26">
        <v>1</v>
      </c>
      <c r="K111" s="27">
        <f t="shared" si="4"/>
        <v>0</v>
      </c>
      <c r="L111" s="27"/>
      <c r="M111" s="27"/>
      <c r="N111" s="2">
        <v>5</v>
      </c>
      <c r="O111" s="27">
        <f t="shared" si="5"/>
        <v>2937.3</v>
      </c>
      <c r="P111" s="27">
        <v>2937.3</v>
      </c>
      <c r="Q111" s="27"/>
      <c r="R111" s="31">
        <f t="shared" si="6"/>
        <v>2937.3</v>
      </c>
    </row>
    <row r="112" spans="1:18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455</v>
      </c>
      <c r="G112" s="23" t="s">
        <v>122</v>
      </c>
      <c r="H112" s="25">
        <v>10</v>
      </c>
      <c r="I112" s="2">
        <v>3</v>
      </c>
      <c r="J112" s="26">
        <v>3</v>
      </c>
      <c r="K112" s="27">
        <f t="shared" si="4"/>
        <v>3579.3</v>
      </c>
      <c r="L112" s="27">
        <v>3579.3</v>
      </c>
      <c r="M112" s="27"/>
      <c r="N112" s="2">
        <v>4</v>
      </c>
      <c r="O112" s="27">
        <f t="shared" si="5"/>
        <v>9834.4</v>
      </c>
      <c r="P112" s="27">
        <v>9834.4</v>
      </c>
      <c r="Q112" s="27"/>
      <c r="R112" s="31">
        <f t="shared" si="6"/>
        <v>13413.7</v>
      </c>
    </row>
    <row r="113" spans="1:18" ht="15" customHeight="1">
      <c r="A113" s="24">
        <v>56</v>
      </c>
      <c r="B113" s="23" t="s">
        <v>306</v>
      </c>
      <c r="C113" s="24" t="s">
        <v>30</v>
      </c>
      <c r="D113" s="23" t="s">
        <v>334</v>
      </c>
      <c r="E113" s="23" t="s">
        <v>104</v>
      </c>
      <c r="F113" s="23" t="s">
        <v>417</v>
      </c>
      <c r="G113" s="23" t="s">
        <v>142</v>
      </c>
      <c r="H113" s="25">
        <v>32</v>
      </c>
      <c r="I113" s="2">
        <v>21</v>
      </c>
      <c r="J113" s="26">
        <v>22</v>
      </c>
      <c r="K113" s="27">
        <f t="shared" si="4"/>
        <v>8880.7200000000012</v>
      </c>
      <c r="L113" s="27">
        <f>4342.45+4538.27</f>
        <v>8880.7200000000012</v>
      </c>
      <c r="M113" s="27"/>
      <c r="N113" s="2"/>
      <c r="O113" s="27">
        <f t="shared" si="5"/>
        <v>0</v>
      </c>
      <c r="P113" s="27"/>
      <c r="Q113" s="27"/>
      <c r="R113" s="31">
        <f t="shared" si="6"/>
        <v>8880.7200000000012</v>
      </c>
    </row>
    <row r="114" spans="1:18" ht="15" customHeight="1">
      <c r="A114" s="24"/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340</v>
      </c>
      <c r="G114" s="23" t="s">
        <v>131</v>
      </c>
      <c r="H114" s="25">
        <v>20</v>
      </c>
      <c r="I114" s="2">
        <v>4</v>
      </c>
      <c r="J114" s="26">
        <v>4</v>
      </c>
      <c r="K114" s="27">
        <f t="shared" si="4"/>
        <v>0</v>
      </c>
      <c r="L114" s="27"/>
      <c r="M114" s="27"/>
      <c r="N114" s="2"/>
      <c r="O114" s="27">
        <f t="shared" si="5"/>
        <v>0</v>
      </c>
      <c r="P114" s="27"/>
      <c r="Q114" s="27"/>
      <c r="R114" s="31">
        <f t="shared" si="6"/>
        <v>0</v>
      </c>
    </row>
    <row r="115" spans="1:18" ht="15" customHeight="1">
      <c r="A115" s="24"/>
      <c r="B115" s="23" t="s">
        <v>306</v>
      </c>
      <c r="C115" s="24" t="s">
        <v>30</v>
      </c>
      <c r="D115" s="23" t="s">
        <v>307</v>
      </c>
      <c r="E115" s="23" t="s">
        <v>19</v>
      </c>
      <c r="F115" s="23" t="s">
        <v>350</v>
      </c>
      <c r="G115" s="23" t="s">
        <v>122</v>
      </c>
      <c r="H115" s="25">
        <v>12</v>
      </c>
      <c r="I115" s="2">
        <v>3</v>
      </c>
      <c r="J115" s="26">
        <v>3</v>
      </c>
      <c r="K115" s="27">
        <f t="shared" si="4"/>
        <v>3106</v>
      </c>
      <c r="L115" s="27">
        <v>3106</v>
      </c>
      <c r="M115" s="27"/>
      <c r="N115" s="2"/>
      <c r="O115" s="27">
        <f t="shared" si="5"/>
        <v>0</v>
      </c>
      <c r="P115" s="27"/>
      <c r="Q115" s="27"/>
      <c r="R115" s="31">
        <f t="shared" si="6"/>
        <v>3106</v>
      </c>
    </row>
    <row r="116" spans="1:18" ht="30.75" customHeight="1">
      <c r="A116" s="24">
        <v>57</v>
      </c>
      <c r="B116" s="23" t="s">
        <v>78</v>
      </c>
      <c r="C116" s="24" t="s">
        <v>18</v>
      </c>
      <c r="D116" s="23" t="s">
        <v>276</v>
      </c>
      <c r="E116" s="23" t="s">
        <v>19</v>
      </c>
      <c r="F116" s="23" t="s">
        <v>418</v>
      </c>
      <c r="G116" s="23" t="s">
        <v>142</v>
      </c>
      <c r="H116" s="25">
        <v>32</v>
      </c>
      <c r="I116" s="1">
        <v>26</v>
      </c>
      <c r="J116" s="26">
        <v>28</v>
      </c>
      <c r="K116" s="27">
        <f t="shared" si="4"/>
        <v>26169.39</v>
      </c>
      <c r="L116" s="27">
        <v>26169.39</v>
      </c>
      <c r="M116" s="27"/>
      <c r="N116" s="1">
        <v>12</v>
      </c>
      <c r="O116" s="27">
        <f t="shared" si="5"/>
        <v>40874.75</v>
      </c>
      <c r="P116" s="27">
        <v>40874.75</v>
      </c>
      <c r="Q116" s="27"/>
      <c r="R116" s="31">
        <f t="shared" si="6"/>
        <v>67044.14</v>
      </c>
    </row>
    <row r="117" spans="1:18" ht="15" customHeight="1">
      <c r="A117" s="24"/>
      <c r="B117" s="23" t="s">
        <v>78</v>
      </c>
      <c r="C117" s="24" t="s">
        <v>18</v>
      </c>
      <c r="D117" s="23"/>
      <c r="E117" s="23" t="s">
        <v>19</v>
      </c>
      <c r="F117" s="23" t="s">
        <v>120</v>
      </c>
      <c r="G117" s="23" t="s">
        <v>131</v>
      </c>
      <c r="H117" s="25">
        <v>0</v>
      </c>
      <c r="I117" s="1"/>
      <c r="J117" s="26"/>
      <c r="K117" s="27">
        <f t="shared" si="4"/>
        <v>0</v>
      </c>
      <c r="L117" s="27"/>
      <c r="M117" s="27"/>
      <c r="N117" s="1"/>
      <c r="O117" s="27">
        <f t="shared" si="5"/>
        <v>0</v>
      </c>
      <c r="P117" s="27"/>
      <c r="Q117" s="27"/>
      <c r="R117" s="31">
        <f t="shared" si="6"/>
        <v>0</v>
      </c>
    </row>
    <row r="118" spans="1:18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122</v>
      </c>
      <c r="H118" s="25">
        <v>0</v>
      </c>
      <c r="I118" s="1"/>
      <c r="J118" s="26"/>
      <c r="K118" s="27">
        <f t="shared" si="4"/>
        <v>0</v>
      </c>
      <c r="L118" s="27"/>
      <c r="M118" s="27"/>
      <c r="N118" s="1"/>
      <c r="O118" s="27">
        <f t="shared" si="5"/>
        <v>0</v>
      </c>
      <c r="P118" s="27"/>
      <c r="Q118" s="27"/>
      <c r="R118" s="31">
        <f t="shared" si="6"/>
        <v>0</v>
      </c>
    </row>
    <row r="119" spans="1:18" ht="15" customHeight="1">
      <c r="A119" s="24">
        <v>58</v>
      </c>
      <c r="B119" s="23" t="s">
        <v>79</v>
      </c>
      <c r="C119" s="24" t="s">
        <v>18</v>
      </c>
      <c r="D119" s="23"/>
      <c r="E119" s="23" t="s">
        <v>19</v>
      </c>
      <c r="F119" s="23"/>
      <c r="G119" s="23" t="s">
        <v>142</v>
      </c>
      <c r="H119" s="25">
        <v>0</v>
      </c>
      <c r="I119" s="1"/>
      <c r="J119" s="26"/>
      <c r="K119" s="27">
        <f t="shared" si="4"/>
        <v>0</v>
      </c>
      <c r="L119" s="27"/>
      <c r="M119" s="27"/>
      <c r="N119" s="1"/>
      <c r="O119" s="27">
        <f t="shared" si="5"/>
        <v>0</v>
      </c>
      <c r="P119" s="27"/>
      <c r="Q119" s="27"/>
      <c r="R119" s="31">
        <f t="shared" si="6"/>
        <v>0</v>
      </c>
    </row>
    <row r="120" spans="1:18" ht="15" customHeight="1">
      <c r="A120" s="24">
        <v>59</v>
      </c>
      <c r="B120" s="23" t="s">
        <v>80</v>
      </c>
      <c r="C120" s="24" t="s">
        <v>18</v>
      </c>
      <c r="D120" s="23"/>
      <c r="E120" s="23" t="s">
        <v>19</v>
      </c>
      <c r="F120" s="23" t="s">
        <v>419</v>
      </c>
      <c r="G120" s="23" t="s">
        <v>142</v>
      </c>
      <c r="H120" s="25">
        <v>28</v>
      </c>
      <c r="I120" s="1">
        <v>22</v>
      </c>
      <c r="J120" s="26">
        <v>28</v>
      </c>
      <c r="K120" s="27">
        <f t="shared" si="4"/>
        <v>23252.01</v>
      </c>
      <c r="L120" s="27">
        <v>23252.01</v>
      </c>
      <c r="M120" s="27"/>
      <c r="N120" s="1">
        <v>13</v>
      </c>
      <c r="O120" s="27">
        <f t="shared" si="5"/>
        <v>41732.35</v>
      </c>
      <c r="P120" s="27">
        <f>40384.42+1347.93</f>
        <v>41732.35</v>
      </c>
      <c r="Q120" s="27"/>
      <c r="R120" s="31">
        <f t="shared" si="6"/>
        <v>64984.36</v>
      </c>
    </row>
    <row r="121" spans="1:18" ht="15" customHeight="1">
      <c r="A121" s="24"/>
      <c r="B121" s="23" t="s">
        <v>80</v>
      </c>
      <c r="C121" s="24" t="s">
        <v>18</v>
      </c>
      <c r="D121" s="23"/>
      <c r="E121" s="23" t="s">
        <v>19</v>
      </c>
      <c r="F121" s="23" t="s">
        <v>120</v>
      </c>
      <c r="G121" s="23" t="s">
        <v>122</v>
      </c>
      <c r="H121" s="25">
        <v>0</v>
      </c>
      <c r="I121" s="1"/>
      <c r="J121" s="26"/>
      <c r="K121" s="27">
        <f t="shared" si="4"/>
        <v>0</v>
      </c>
      <c r="L121" s="27"/>
      <c r="M121" s="27"/>
      <c r="N121" s="1"/>
      <c r="O121" s="27">
        <f t="shared" si="5"/>
        <v>0</v>
      </c>
      <c r="P121" s="27"/>
      <c r="Q121" s="27"/>
      <c r="R121" s="31">
        <f t="shared" si="6"/>
        <v>0</v>
      </c>
    </row>
    <row r="122" spans="1:18" ht="15" customHeight="1">
      <c r="A122" s="24">
        <v>60</v>
      </c>
      <c r="B122" s="23" t="s">
        <v>372</v>
      </c>
      <c r="C122" s="24" t="s">
        <v>18</v>
      </c>
      <c r="D122" s="23"/>
      <c r="E122" s="23" t="s">
        <v>19</v>
      </c>
      <c r="F122" s="23" t="s">
        <v>420</v>
      </c>
      <c r="G122" s="23" t="s">
        <v>142</v>
      </c>
      <c r="H122" s="25">
        <v>27</v>
      </c>
      <c r="I122" s="1">
        <v>6</v>
      </c>
      <c r="J122" s="26">
        <v>8</v>
      </c>
      <c r="K122" s="27">
        <f t="shared" si="4"/>
        <v>0</v>
      </c>
      <c r="L122" s="27"/>
      <c r="M122" s="27"/>
      <c r="N122" s="1"/>
      <c r="O122" s="27">
        <f t="shared" si="5"/>
        <v>0</v>
      </c>
      <c r="P122" s="27"/>
      <c r="Q122" s="27"/>
      <c r="R122" s="31">
        <f t="shared" si="6"/>
        <v>0</v>
      </c>
    </row>
    <row r="123" spans="1:18" ht="15" customHeight="1">
      <c r="A123" s="24">
        <v>61</v>
      </c>
      <c r="B123" s="23" t="s">
        <v>313</v>
      </c>
      <c r="C123" s="24" t="s">
        <v>18</v>
      </c>
      <c r="D123" s="23"/>
      <c r="E123" s="23"/>
      <c r="F123" s="23" t="s">
        <v>342</v>
      </c>
      <c r="G123" s="23" t="s">
        <v>131</v>
      </c>
      <c r="H123" s="25">
        <v>1</v>
      </c>
      <c r="I123" s="1"/>
      <c r="J123" s="26"/>
      <c r="K123" s="27">
        <f t="shared" si="4"/>
        <v>0</v>
      </c>
      <c r="L123" s="27"/>
      <c r="M123" s="27"/>
      <c r="N123" s="1"/>
      <c r="O123" s="27">
        <f t="shared" si="5"/>
        <v>0</v>
      </c>
      <c r="P123" s="27"/>
      <c r="Q123" s="27"/>
      <c r="R123" s="31">
        <f t="shared" si="6"/>
        <v>0</v>
      </c>
    </row>
    <row r="124" spans="1:18" ht="15" customHeight="1">
      <c r="A124" s="24"/>
      <c r="B124" s="23" t="s">
        <v>313</v>
      </c>
      <c r="C124" s="24" t="s">
        <v>18</v>
      </c>
      <c r="D124" s="23"/>
      <c r="E124" s="23" t="s">
        <v>41</v>
      </c>
      <c r="F124" s="23" t="s">
        <v>366</v>
      </c>
      <c r="G124" s="23" t="s">
        <v>136</v>
      </c>
      <c r="H124" s="25">
        <v>29</v>
      </c>
      <c r="I124" s="1">
        <v>6</v>
      </c>
      <c r="J124" s="26">
        <v>6</v>
      </c>
      <c r="K124" s="27">
        <f t="shared" si="4"/>
        <v>16481.849999999999</v>
      </c>
      <c r="L124" s="27">
        <v>16481.849999999999</v>
      </c>
      <c r="M124" s="27"/>
      <c r="N124" s="1"/>
      <c r="O124" s="27">
        <f t="shared" si="5"/>
        <v>0</v>
      </c>
      <c r="P124" s="27"/>
      <c r="Q124" s="27"/>
      <c r="R124" s="31">
        <f t="shared" si="6"/>
        <v>16481.849999999999</v>
      </c>
    </row>
    <row r="125" spans="1:18" ht="15" customHeight="1">
      <c r="A125" s="24">
        <v>62</v>
      </c>
      <c r="B125" s="23" t="s">
        <v>373</v>
      </c>
      <c r="C125" s="24" t="s">
        <v>52</v>
      </c>
      <c r="D125" s="23" t="s">
        <v>378</v>
      </c>
      <c r="E125" s="23" t="s">
        <v>104</v>
      </c>
      <c r="F125" s="23" t="s">
        <v>422</v>
      </c>
      <c r="G125" s="23" t="s">
        <v>142</v>
      </c>
      <c r="H125" s="25">
        <v>11</v>
      </c>
      <c r="I125" s="1"/>
      <c r="J125" s="26"/>
      <c r="K125" s="27">
        <f t="shared" si="4"/>
        <v>0</v>
      </c>
      <c r="L125" s="27"/>
      <c r="M125" s="27"/>
      <c r="N125" s="1"/>
      <c r="O125" s="27">
        <f t="shared" si="5"/>
        <v>0</v>
      </c>
      <c r="P125" s="27"/>
      <c r="Q125" s="27"/>
      <c r="R125" s="31">
        <f t="shared" si="6"/>
        <v>0</v>
      </c>
    </row>
    <row r="126" spans="1:18" ht="15" customHeight="1">
      <c r="A126" s="24">
        <v>63</v>
      </c>
      <c r="B126" s="23" t="s">
        <v>81</v>
      </c>
      <c r="C126" s="24" t="s">
        <v>18</v>
      </c>
      <c r="D126" s="23"/>
      <c r="E126" s="23" t="s">
        <v>19</v>
      </c>
      <c r="F126" s="23" t="s">
        <v>421</v>
      </c>
      <c r="G126" s="23" t="s">
        <v>142</v>
      </c>
      <c r="H126" s="25">
        <v>15</v>
      </c>
      <c r="I126" s="1">
        <v>7</v>
      </c>
      <c r="J126" s="26">
        <v>7</v>
      </c>
      <c r="K126" s="27">
        <f t="shared" si="4"/>
        <v>1899.08</v>
      </c>
      <c r="L126" s="27">
        <v>1899.08</v>
      </c>
      <c r="M126" s="27"/>
      <c r="N126" s="1">
        <v>5</v>
      </c>
      <c r="O126" s="27">
        <f t="shared" si="5"/>
        <v>23638.28</v>
      </c>
      <c r="P126" s="27">
        <v>23638.28</v>
      </c>
      <c r="Q126" s="27"/>
      <c r="R126" s="31">
        <f t="shared" si="6"/>
        <v>25537.360000000001</v>
      </c>
    </row>
    <row r="127" spans="1:18" ht="15" customHeight="1">
      <c r="A127" s="24"/>
      <c r="B127" s="23" t="s">
        <v>81</v>
      </c>
      <c r="C127" s="24" t="s">
        <v>18</v>
      </c>
      <c r="D127" s="23"/>
      <c r="E127" s="23" t="s">
        <v>19</v>
      </c>
      <c r="F127" s="23" t="s">
        <v>453</v>
      </c>
      <c r="G127" s="23" t="s">
        <v>122</v>
      </c>
      <c r="H127" s="25">
        <v>6</v>
      </c>
      <c r="I127" s="1">
        <v>1</v>
      </c>
      <c r="J127" s="26">
        <v>1</v>
      </c>
      <c r="K127" s="27">
        <f t="shared" si="4"/>
        <v>0</v>
      </c>
      <c r="L127" s="27"/>
      <c r="M127" s="27"/>
      <c r="N127" s="1">
        <v>1</v>
      </c>
      <c r="O127" s="27">
        <f t="shared" si="5"/>
        <v>1850.1</v>
      </c>
      <c r="P127" s="27">
        <v>1850.1</v>
      </c>
      <c r="Q127" s="27"/>
      <c r="R127" s="31">
        <f t="shared" si="6"/>
        <v>1850.1</v>
      </c>
    </row>
    <row r="128" spans="1:18" ht="15" customHeight="1">
      <c r="A128" s="24">
        <v>64</v>
      </c>
      <c r="B128" s="23" t="s">
        <v>82</v>
      </c>
      <c r="C128" s="24" t="s">
        <v>18</v>
      </c>
      <c r="D128" s="23"/>
      <c r="E128" s="23" t="s">
        <v>19</v>
      </c>
      <c r="F128" s="23" t="s">
        <v>423</v>
      </c>
      <c r="G128" s="23" t="s">
        <v>142</v>
      </c>
      <c r="H128" s="25">
        <v>28</v>
      </c>
      <c r="I128" s="1">
        <v>21</v>
      </c>
      <c r="J128" s="26">
        <v>21</v>
      </c>
      <c r="K128" s="27">
        <f t="shared" si="4"/>
        <v>14700.02</v>
      </c>
      <c r="L128" s="27">
        <v>14700.02</v>
      </c>
      <c r="M128" s="27"/>
      <c r="N128" s="1">
        <v>10</v>
      </c>
      <c r="O128" s="27">
        <f t="shared" si="5"/>
        <v>48930.57</v>
      </c>
      <c r="P128" s="27">
        <f>46040.89+2290.6+599.08</f>
        <v>48930.57</v>
      </c>
      <c r="Q128" s="27"/>
      <c r="R128" s="31">
        <f t="shared" si="6"/>
        <v>63630.59</v>
      </c>
    </row>
    <row r="129" spans="1:18" ht="15" customHeight="1">
      <c r="A129" s="24"/>
      <c r="B129" s="23" t="s">
        <v>82</v>
      </c>
      <c r="C129" s="24" t="s">
        <v>18</v>
      </c>
      <c r="D129" s="23"/>
      <c r="E129" s="23" t="s">
        <v>19</v>
      </c>
      <c r="F129" s="23" t="s">
        <v>481</v>
      </c>
      <c r="G129" s="23" t="s">
        <v>122</v>
      </c>
      <c r="H129" s="25">
        <v>0</v>
      </c>
      <c r="I129" s="1"/>
      <c r="J129" s="26"/>
      <c r="K129" s="27">
        <f t="shared" si="4"/>
        <v>0</v>
      </c>
      <c r="L129" s="27"/>
      <c r="M129" s="27"/>
      <c r="N129" s="1">
        <v>3</v>
      </c>
      <c r="O129" s="27">
        <f t="shared" si="5"/>
        <v>528.6</v>
      </c>
      <c r="P129" s="27">
        <v>528.6</v>
      </c>
      <c r="Q129" s="27"/>
      <c r="R129" s="31">
        <f t="shared" si="6"/>
        <v>528.6</v>
      </c>
    </row>
    <row r="130" spans="1:18" ht="14.45" customHeight="1">
      <c r="A130" s="24">
        <v>65</v>
      </c>
      <c r="B130" s="23" t="s">
        <v>83</v>
      </c>
      <c r="C130" s="24" t="s">
        <v>30</v>
      </c>
      <c r="D130" s="23" t="s">
        <v>184</v>
      </c>
      <c r="E130" s="23" t="s">
        <v>19</v>
      </c>
      <c r="F130" s="23" t="s">
        <v>424</v>
      </c>
      <c r="G130" s="23" t="s">
        <v>142</v>
      </c>
      <c r="H130" s="25">
        <v>57</v>
      </c>
      <c r="I130" s="1">
        <v>48</v>
      </c>
      <c r="J130" s="26">
        <v>49</v>
      </c>
      <c r="K130" s="27">
        <f t="shared" si="4"/>
        <v>39337.339999999997</v>
      </c>
      <c r="L130" s="27">
        <v>39337.339999999997</v>
      </c>
      <c r="M130" s="27"/>
      <c r="N130" s="1">
        <v>14</v>
      </c>
      <c r="O130" s="27">
        <f t="shared" si="5"/>
        <v>29718.65</v>
      </c>
      <c r="P130" s="27">
        <f>28101.13+1617.52</f>
        <v>29718.65</v>
      </c>
      <c r="Q130" s="27"/>
      <c r="R130" s="31">
        <f t="shared" si="6"/>
        <v>69055.989999999991</v>
      </c>
    </row>
    <row r="131" spans="1:18" ht="14.45" customHeight="1">
      <c r="A131" s="24">
        <v>66</v>
      </c>
      <c r="B131" s="23" t="s">
        <v>303</v>
      </c>
      <c r="C131" s="24" t="s">
        <v>18</v>
      </c>
      <c r="D131" s="23"/>
      <c r="E131" s="23" t="s">
        <v>304</v>
      </c>
      <c r="F131" s="23" t="s">
        <v>473</v>
      </c>
      <c r="G131" s="23" t="s">
        <v>131</v>
      </c>
      <c r="H131" s="25">
        <v>13</v>
      </c>
      <c r="I131" s="1"/>
      <c r="J131" s="26"/>
      <c r="K131" s="27">
        <f t="shared" si="4"/>
        <v>0</v>
      </c>
      <c r="L131" s="27"/>
      <c r="M131" s="27"/>
      <c r="N131" s="1"/>
      <c r="O131" s="27">
        <f t="shared" si="5"/>
        <v>0</v>
      </c>
      <c r="P131" s="27"/>
      <c r="Q131" s="27"/>
      <c r="R131" s="31">
        <f t="shared" si="6"/>
        <v>0</v>
      </c>
    </row>
    <row r="132" spans="1:18" ht="15" customHeight="1">
      <c r="A132" s="24">
        <v>67</v>
      </c>
      <c r="B132" s="23" t="s">
        <v>84</v>
      </c>
      <c r="C132" s="24" t="s">
        <v>18</v>
      </c>
      <c r="D132" s="23"/>
      <c r="E132" s="23" t="s">
        <v>19</v>
      </c>
      <c r="F132" s="23" t="s">
        <v>425</v>
      </c>
      <c r="G132" s="23" t="s">
        <v>142</v>
      </c>
      <c r="H132" s="25">
        <v>25</v>
      </c>
      <c r="I132" s="1">
        <v>20</v>
      </c>
      <c r="J132" s="26">
        <v>23</v>
      </c>
      <c r="K132" s="27">
        <f t="shared" si="4"/>
        <v>20234.59</v>
      </c>
      <c r="L132" s="27">
        <f>15295.92+4938.67</f>
        <v>20234.59</v>
      </c>
      <c r="M132" s="27"/>
      <c r="N132" s="1">
        <v>14</v>
      </c>
      <c r="O132" s="27">
        <f t="shared" si="5"/>
        <v>19788.560000000001</v>
      </c>
      <c r="P132" s="27">
        <v>19788.560000000001</v>
      </c>
      <c r="Q132" s="27"/>
      <c r="R132" s="31">
        <f t="shared" si="6"/>
        <v>40023.15</v>
      </c>
    </row>
    <row r="133" spans="1:18" ht="15" customHeight="1">
      <c r="A133" s="24"/>
      <c r="B133" s="23" t="s">
        <v>84</v>
      </c>
      <c r="C133" s="24" t="s">
        <v>18</v>
      </c>
      <c r="D133" s="23"/>
      <c r="E133" s="23" t="s">
        <v>19</v>
      </c>
      <c r="F133" s="37" t="s">
        <v>468</v>
      </c>
      <c r="G133" s="23" t="s">
        <v>122</v>
      </c>
      <c r="H133" s="25">
        <v>0</v>
      </c>
      <c r="I133" s="1"/>
      <c r="J133" s="26"/>
      <c r="K133" s="27">
        <f t="shared" si="4"/>
        <v>0</v>
      </c>
      <c r="L133" s="27"/>
      <c r="M133" s="27"/>
      <c r="N133" s="1">
        <v>2</v>
      </c>
      <c r="O133" s="27">
        <f t="shared" si="5"/>
        <v>1841</v>
      </c>
      <c r="P133" s="27">
        <v>1841</v>
      </c>
      <c r="Q133" s="27"/>
      <c r="R133" s="31">
        <f t="shared" si="6"/>
        <v>1841</v>
      </c>
    </row>
    <row r="134" spans="1:18" ht="15" customHeight="1">
      <c r="A134" s="24">
        <v>68</v>
      </c>
      <c r="B134" s="23" t="s">
        <v>85</v>
      </c>
      <c r="C134" s="24" t="s">
        <v>18</v>
      </c>
      <c r="D134" s="23"/>
      <c r="E134" s="23" t="s">
        <v>77</v>
      </c>
      <c r="F134" s="23" t="s">
        <v>426</v>
      </c>
      <c r="G134" s="23" t="s">
        <v>142</v>
      </c>
      <c r="H134" s="25">
        <v>27</v>
      </c>
      <c r="I134" s="1">
        <v>25</v>
      </c>
      <c r="J134" s="26">
        <v>31</v>
      </c>
      <c r="K134" s="27">
        <f t="shared" si="4"/>
        <v>7290.74</v>
      </c>
      <c r="L134" s="27">
        <v>7290.74</v>
      </c>
      <c r="M134" s="27"/>
      <c r="N134" s="1">
        <v>24</v>
      </c>
      <c r="O134" s="27">
        <f t="shared" si="5"/>
        <v>35519.81</v>
      </c>
      <c r="P134" s="27">
        <v>35519.81</v>
      </c>
      <c r="Q134" s="27"/>
      <c r="R134" s="31">
        <f t="shared" si="6"/>
        <v>42810.549999999996</v>
      </c>
    </row>
    <row r="135" spans="1:18" ht="15" customHeight="1">
      <c r="A135" s="24"/>
      <c r="B135" s="23" t="s">
        <v>85</v>
      </c>
      <c r="C135" s="24" t="s">
        <v>18</v>
      </c>
      <c r="D135" s="23"/>
      <c r="E135" s="23" t="s">
        <v>301</v>
      </c>
      <c r="F135" s="23" t="s">
        <v>337</v>
      </c>
      <c r="G135" s="23" t="s">
        <v>131</v>
      </c>
      <c r="H135" s="25">
        <v>45</v>
      </c>
      <c r="I135" s="1">
        <v>15</v>
      </c>
      <c r="J135" s="26">
        <v>15</v>
      </c>
      <c r="K135" s="27">
        <f t="shared" si="4"/>
        <v>2466.8000000000002</v>
      </c>
      <c r="L135" s="27">
        <v>2466.8000000000002</v>
      </c>
      <c r="M135" s="27"/>
      <c r="N135" s="1">
        <v>19</v>
      </c>
      <c r="O135" s="27">
        <f t="shared" si="5"/>
        <v>5330.06</v>
      </c>
      <c r="P135" s="27">
        <v>5330.06</v>
      </c>
      <c r="Q135" s="27"/>
      <c r="R135" s="31">
        <f t="shared" si="6"/>
        <v>7796.8600000000006</v>
      </c>
    </row>
    <row r="136" spans="1:18" ht="15" customHeight="1">
      <c r="A136" s="24">
        <v>69</v>
      </c>
      <c r="B136" s="23" t="s">
        <v>86</v>
      </c>
      <c r="C136" s="24" t="s">
        <v>18</v>
      </c>
      <c r="D136" s="23"/>
      <c r="E136" s="23" t="s">
        <v>77</v>
      </c>
      <c r="F136" s="23" t="s">
        <v>427</v>
      </c>
      <c r="G136" s="23" t="s">
        <v>142</v>
      </c>
      <c r="H136" s="25">
        <v>28</v>
      </c>
      <c r="I136" s="1">
        <v>20</v>
      </c>
      <c r="J136" s="26">
        <v>22</v>
      </c>
      <c r="K136" s="27">
        <f t="shared" si="4"/>
        <v>14801.52</v>
      </c>
      <c r="L136" s="27">
        <v>14801.52</v>
      </c>
      <c r="M136" s="27"/>
      <c r="N136" s="1">
        <v>16</v>
      </c>
      <c r="O136" s="27">
        <f t="shared" si="5"/>
        <v>44051.35</v>
      </c>
      <c r="P136" s="27">
        <v>44051.35</v>
      </c>
      <c r="Q136" s="27"/>
      <c r="R136" s="31">
        <f t="shared" si="6"/>
        <v>58852.869999999995</v>
      </c>
    </row>
    <row r="137" spans="1:18" ht="15" customHeight="1">
      <c r="A137" s="24"/>
      <c r="B137" s="23" t="s">
        <v>86</v>
      </c>
      <c r="C137" s="24" t="s">
        <v>18</v>
      </c>
      <c r="D137" s="23"/>
      <c r="E137" s="23" t="s">
        <v>301</v>
      </c>
      <c r="F137" s="23" t="s">
        <v>338</v>
      </c>
      <c r="G137" s="23" t="s">
        <v>131</v>
      </c>
      <c r="H137" s="25">
        <v>8</v>
      </c>
      <c r="I137" s="1">
        <v>2</v>
      </c>
      <c r="J137" s="26">
        <v>2</v>
      </c>
      <c r="K137" s="27">
        <f t="shared" si="4"/>
        <v>0</v>
      </c>
      <c r="L137" s="27"/>
      <c r="M137" s="27"/>
      <c r="N137" s="1">
        <v>4</v>
      </c>
      <c r="O137" s="27">
        <f t="shared" si="5"/>
        <v>5030.51</v>
      </c>
      <c r="P137" s="27">
        <v>5030.51</v>
      </c>
      <c r="Q137" s="27"/>
      <c r="R137" s="31">
        <f t="shared" si="6"/>
        <v>5030.51</v>
      </c>
    </row>
    <row r="138" spans="1:18" ht="28.9" customHeight="1">
      <c r="A138" s="29">
        <v>70</v>
      </c>
      <c r="B138" s="30" t="s">
        <v>87</v>
      </c>
      <c r="C138" s="29" t="s">
        <v>52</v>
      </c>
      <c r="D138" s="30" t="s">
        <v>88</v>
      </c>
      <c r="E138" s="30" t="s">
        <v>19</v>
      </c>
      <c r="F138" s="30" t="s">
        <v>292</v>
      </c>
      <c r="G138" s="30" t="s">
        <v>142</v>
      </c>
      <c r="H138" s="25">
        <v>0</v>
      </c>
      <c r="I138" s="1"/>
      <c r="J138" s="26"/>
      <c r="K138" s="27">
        <f t="shared" si="4"/>
        <v>0</v>
      </c>
      <c r="L138" s="27"/>
      <c r="M138" s="27"/>
      <c r="N138" s="1">
        <v>1</v>
      </c>
      <c r="O138" s="27">
        <f t="shared" si="5"/>
        <v>2730.25</v>
      </c>
      <c r="P138" s="27">
        <f>1564.44+1165.81</f>
        <v>2730.25</v>
      </c>
      <c r="Q138" s="27"/>
      <c r="R138" s="31">
        <f t="shared" si="6"/>
        <v>2730.25</v>
      </c>
    </row>
    <row r="139" spans="1:18" ht="29.25" customHeight="1">
      <c r="A139" s="29"/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376</v>
      </c>
      <c r="G139" s="30" t="s">
        <v>122</v>
      </c>
      <c r="H139" s="25">
        <v>27</v>
      </c>
      <c r="I139" s="1">
        <v>8</v>
      </c>
      <c r="J139" s="44">
        <v>8</v>
      </c>
      <c r="K139" s="27">
        <f t="shared" ref="K139:K202" si="7">L139+M139</f>
        <v>9959.6</v>
      </c>
      <c r="L139" s="27">
        <v>9959.6</v>
      </c>
      <c r="M139" s="27"/>
      <c r="N139" s="1">
        <v>5</v>
      </c>
      <c r="O139" s="27">
        <f t="shared" ref="O139:O202" si="8">P139+Q139</f>
        <v>8968.58</v>
      </c>
      <c r="P139" s="27">
        <v>8968.58</v>
      </c>
      <c r="Q139" s="27"/>
      <c r="R139" s="31">
        <f t="shared" ref="R139:R202" si="9">L139+P139</f>
        <v>18928.18</v>
      </c>
    </row>
    <row r="140" spans="1:18" ht="26.25" customHeight="1">
      <c r="A140" s="24">
        <v>71</v>
      </c>
      <c r="B140" s="23" t="s">
        <v>89</v>
      </c>
      <c r="C140" s="24" t="s">
        <v>18</v>
      </c>
      <c r="D140" s="23"/>
      <c r="E140" s="23" t="s">
        <v>19</v>
      </c>
      <c r="F140" s="23" t="s">
        <v>428</v>
      </c>
      <c r="G140" s="23" t="s">
        <v>142</v>
      </c>
      <c r="H140" s="25">
        <v>24</v>
      </c>
      <c r="I140" s="1">
        <v>14</v>
      </c>
      <c r="J140" s="26">
        <v>14</v>
      </c>
      <c r="K140" s="27">
        <f t="shared" si="7"/>
        <v>8817.93</v>
      </c>
      <c r="L140" s="27">
        <v>8817.93</v>
      </c>
      <c r="M140" s="27"/>
      <c r="N140" s="1">
        <v>9</v>
      </c>
      <c r="O140" s="27">
        <f t="shared" si="8"/>
        <v>26412.81</v>
      </c>
      <c r="P140" s="27">
        <v>26412.81</v>
      </c>
      <c r="Q140" s="27"/>
      <c r="R140" s="31">
        <f t="shared" si="9"/>
        <v>35230.740000000005</v>
      </c>
    </row>
    <row r="141" spans="1:18" ht="15" customHeight="1">
      <c r="A141" s="24"/>
      <c r="B141" s="23" t="s">
        <v>89</v>
      </c>
      <c r="C141" s="24" t="s">
        <v>18</v>
      </c>
      <c r="D141" s="23"/>
      <c r="E141" s="23" t="s">
        <v>19</v>
      </c>
      <c r="F141" s="23" t="s">
        <v>454</v>
      </c>
      <c r="G141" s="23" t="s">
        <v>122</v>
      </c>
      <c r="H141" s="25">
        <v>17</v>
      </c>
      <c r="I141" s="1">
        <v>1</v>
      </c>
      <c r="J141" s="26">
        <v>1</v>
      </c>
      <c r="K141" s="27">
        <f t="shared" si="7"/>
        <v>0</v>
      </c>
      <c r="L141" s="27"/>
      <c r="M141" s="27"/>
      <c r="N141" s="1">
        <v>9</v>
      </c>
      <c r="O141" s="27">
        <f t="shared" si="8"/>
        <v>22519.69</v>
      </c>
      <c r="P141" s="36">
        <v>22519.69</v>
      </c>
      <c r="Q141" s="27"/>
      <c r="R141" s="31">
        <f t="shared" si="9"/>
        <v>22519.69</v>
      </c>
    </row>
    <row r="142" spans="1:18" ht="15" customHeight="1">
      <c r="A142" s="24">
        <v>72</v>
      </c>
      <c r="B142" s="23" t="s">
        <v>90</v>
      </c>
      <c r="C142" s="24" t="s">
        <v>18</v>
      </c>
      <c r="D142" s="23"/>
      <c r="E142" s="23" t="s">
        <v>19</v>
      </c>
      <c r="F142" s="23" t="s">
        <v>429</v>
      </c>
      <c r="G142" s="23" t="s">
        <v>142</v>
      </c>
      <c r="H142" s="25">
        <v>16</v>
      </c>
      <c r="I142" s="1">
        <v>13</v>
      </c>
      <c r="J142" s="26">
        <v>13</v>
      </c>
      <c r="K142" s="27">
        <f t="shared" si="7"/>
        <v>5319.65</v>
      </c>
      <c r="L142" s="27">
        <f>2471.02+2848.63</f>
        <v>5319.65</v>
      </c>
      <c r="M142" s="27"/>
      <c r="N142" s="1">
        <v>5</v>
      </c>
      <c r="O142" s="27">
        <f t="shared" si="8"/>
        <v>10093.58</v>
      </c>
      <c r="P142" s="27">
        <v>10093.58</v>
      </c>
      <c r="Q142" s="27"/>
      <c r="R142" s="31">
        <f t="shared" si="9"/>
        <v>15413.23</v>
      </c>
    </row>
    <row r="143" spans="1:18" ht="15" customHeight="1">
      <c r="A143" s="24">
        <v>73</v>
      </c>
      <c r="B143" s="23" t="s">
        <v>91</v>
      </c>
      <c r="C143" s="24" t="s">
        <v>18</v>
      </c>
      <c r="D143" s="23"/>
      <c r="E143" s="23" t="s">
        <v>92</v>
      </c>
      <c r="F143" s="23" t="s">
        <v>470</v>
      </c>
      <c r="G143" s="23" t="s">
        <v>142</v>
      </c>
      <c r="H143" s="25">
        <v>25</v>
      </c>
      <c r="I143" s="1">
        <v>20</v>
      </c>
      <c r="J143" s="26">
        <v>33</v>
      </c>
      <c r="K143" s="27">
        <f t="shared" si="7"/>
        <v>872.19</v>
      </c>
      <c r="L143" s="27">
        <v>872.19</v>
      </c>
      <c r="M143" s="27"/>
      <c r="N143" s="1">
        <v>23</v>
      </c>
      <c r="O143" s="27">
        <f t="shared" si="8"/>
        <v>39982.019999999997</v>
      </c>
      <c r="P143" s="27">
        <f>35132.88+3580.5+1268.64</f>
        <v>39982.019999999997</v>
      </c>
      <c r="Q143" s="27"/>
      <c r="R143" s="31">
        <f t="shared" si="9"/>
        <v>40854.21</v>
      </c>
    </row>
    <row r="144" spans="1:18" ht="15" customHeight="1">
      <c r="A144" s="24"/>
      <c r="B144" s="23" t="s">
        <v>91</v>
      </c>
      <c r="C144" s="24" t="s">
        <v>18</v>
      </c>
      <c r="D144" s="23"/>
      <c r="E144" s="23" t="s">
        <v>92</v>
      </c>
      <c r="F144" s="23" t="s">
        <v>479</v>
      </c>
      <c r="G144" s="23" t="s">
        <v>136</v>
      </c>
      <c r="H144" s="25">
        <v>3</v>
      </c>
      <c r="I144" s="2"/>
      <c r="J144" s="26"/>
      <c r="K144" s="27">
        <f t="shared" si="7"/>
        <v>0</v>
      </c>
      <c r="L144" s="27"/>
      <c r="M144" s="27"/>
      <c r="N144" s="2">
        <v>6</v>
      </c>
      <c r="O144" s="27">
        <f t="shared" si="8"/>
        <v>2907.3</v>
      </c>
      <c r="P144" s="27">
        <v>2907.3</v>
      </c>
      <c r="Q144" s="27"/>
      <c r="R144" s="31">
        <f t="shared" si="9"/>
        <v>2907.3</v>
      </c>
    </row>
    <row r="145" spans="1:18" ht="15" customHeight="1">
      <c r="A145" s="24">
        <v>74</v>
      </c>
      <c r="B145" s="23" t="s">
        <v>93</v>
      </c>
      <c r="C145" s="24" t="s">
        <v>18</v>
      </c>
      <c r="D145" s="23"/>
      <c r="E145" s="23" t="s">
        <v>19</v>
      </c>
      <c r="F145" s="23" t="s">
        <v>123</v>
      </c>
      <c r="G145" s="23" t="s">
        <v>142</v>
      </c>
      <c r="H145" s="25">
        <v>0</v>
      </c>
      <c r="I145" s="2"/>
      <c r="J145" s="26"/>
      <c r="K145" s="27">
        <f t="shared" si="7"/>
        <v>0</v>
      </c>
      <c r="L145" s="27"/>
      <c r="M145" s="27"/>
      <c r="N145" s="2">
        <v>1</v>
      </c>
      <c r="O145" s="27">
        <f t="shared" si="8"/>
        <v>4017.3599999999997</v>
      </c>
      <c r="P145" s="27">
        <v>4017.3599999999997</v>
      </c>
      <c r="Q145" s="27"/>
      <c r="R145" s="31">
        <f t="shared" si="9"/>
        <v>4017.3599999999997</v>
      </c>
    </row>
    <row r="146" spans="1:18" ht="15" customHeight="1">
      <c r="A146" s="24"/>
      <c r="B146" s="23" t="s">
        <v>93</v>
      </c>
      <c r="C146" s="24" t="s">
        <v>18</v>
      </c>
      <c r="D146" s="23"/>
      <c r="E146" s="23" t="s">
        <v>19</v>
      </c>
      <c r="F146" s="23" t="s">
        <v>120</v>
      </c>
      <c r="G146" s="23" t="s">
        <v>131</v>
      </c>
      <c r="H146" s="25">
        <v>0</v>
      </c>
      <c r="I146" s="1"/>
      <c r="J146" s="26"/>
      <c r="K146" s="27">
        <f t="shared" si="7"/>
        <v>0</v>
      </c>
      <c r="L146" s="27"/>
      <c r="M146" s="27"/>
      <c r="N146" s="1">
        <v>1</v>
      </c>
      <c r="O146" s="27">
        <f t="shared" si="8"/>
        <v>1797.24</v>
      </c>
      <c r="P146" s="27">
        <v>1797.24</v>
      </c>
      <c r="Q146" s="27"/>
      <c r="R146" s="31">
        <f t="shared" si="9"/>
        <v>1797.24</v>
      </c>
    </row>
    <row r="147" spans="1:18" ht="15" customHeight="1">
      <c r="A147" s="24"/>
      <c r="B147" s="23" t="s">
        <v>93</v>
      </c>
      <c r="C147" s="24" t="s">
        <v>18</v>
      </c>
      <c r="D147" s="23"/>
      <c r="E147" s="23"/>
      <c r="F147" s="23" t="s">
        <v>261</v>
      </c>
      <c r="G147" s="23" t="s">
        <v>122</v>
      </c>
      <c r="H147" s="25">
        <v>10</v>
      </c>
      <c r="I147" s="1">
        <v>3</v>
      </c>
      <c r="J147" s="26">
        <v>3</v>
      </c>
      <c r="K147" s="27">
        <f t="shared" si="7"/>
        <v>0</v>
      </c>
      <c r="L147" s="27"/>
      <c r="M147" s="27"/>
      <c r="N147" s="1">
        <v>3</v>
      </c>
      <c r="O147" s="27">
        <f t="shared" si="8"/>
        <v>6255.1</v>
      </c>
      <c r="P147" s="27">
        <v>6255.1</v>
      </c>
      <c r="Q147" s="27"/>
      <c r="R147" s="31">
        <f t="shared" si="9"/>
        <v>6255.1</v>
      </c>
    </row>
    <row r="148" spans="1:18" ht="15" customHeight="1">
      <c r="A148" s="24">
        <v>75</v>
      </c>
      <c r="B148" s="23" t="s">
        <v>281</v>
      </c>
      <c r="C148" s="24" t="s">
        <v>18</v>
      </c>
      <c r="D148" s="23"/>
      <c r="E148" s="23" t="s">
        <v>19</v>
      </c>
      <c r="F148" s="23" t="s">
        <v>430</v>
      </c>
      <c r="G148" s="23" t="s">
        <v>142</v>
      </c>
      <c r="H148" s="25">
        <v>17</v>
      </c>
      <c r="I148" s="1">
        <v>11</v>
      </c>
      <c r="J148" s="26">
        <v>12</v>
      </c>
      <c r="K148" s="27">
        <f t="shared" si="7"/>
        <v>6670.26</v>
      </c>
      <c r="L148" s="27">
        <f>2702.63+3967.63</f>
        <v>6670.26</v>
      </c>
      <c r="M148" s="27"/>
      <c r="N148" s="1">
        <v>2</v>
      </c>
      <c r="O148" s="27">
        <f t="shared" si="8"/>
        <v>2640.13</v>
      </c>
      <c r="P148" s="27">
        <v>2640.13</v>
      </c>
      <c r="Q148" s="27"/>
      <c r="R148" s="31">
        <f t="shared" si="9"/>
        <v>9310.39</v>
      </c>
    </row>
    <row r="149" spans="1:18" ht="15" customHeight="1">
      <c r="A149" s="24"/>
      <c r="B149" s="23" t="s">
        <v>281</v>
      </c>
      <c r="C149" s="24" t="s">
        <v>18</v>
      </c>
      <c r="D149" s="23"/>
      <c r="E149" s="23" t="s">
        <v>19</v>
      </c>
      <c r="F149" s="23" t="s">
        <v>285</v>
      </c>
      <c r="G149" s="23" t="s">
        <v>131</v>
      </c>
      <c r="H149" s="25">
        <v>0</v>
      </c>
      <c r="I149" s="1"/>
      <c r="J149" s="26"/>
      <c r="K149" s="27">
        <f t="shared" si="7"/>
        <v>0</v>
      </c>
      <c r="L149" s="27"/>
      <c r="M149" s="27"/>
      <c r="N149" s="1">
        <v>1</v>
      </c>
      <c r="O149" s="27">
        <f t="shared" si="8"/>
        <v>0</v>
      </c>
      <c r="P149" s="27"/>
      <c r="Q149" s="27"/>
      <c r="R149" s="31">
        <f t="shared" si="9"/>
        <v>0</v>
      </c>
    </row>
    <row r="150" spans="1:18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349</v>
      </c>
      <c r="G150" s="23" t="s">
        <v>122</v>
      </c>
      <c r="H150" s="25">
        <v>22</v>
      </c>
      <c r="I150" s="1">
        <v>5</v>
      </c>
      <c r="J150" s="26">
        <v>5</v>
      </c>
      <c r="K150" s="27">
        <f t="shared" si="7"/>
        <v>12186.16</v>
      </c>
      <c r="L150" s="27">
        <v>12186.16</v>
      </c>
      <c r="M150" s="27"/>
      <c r="N150" s="1">
        <v>6</v>
      </c>
      <c r="O150" s="27">
        <f t="shared" si="8"/>
        <v>13416.69</v>
      </c>
      <c r="P150" s="27">
        <v>13416.69</v>
      </c>
      <c r="Q150" s="27"/>
      <c r="R150" s="31">
        <f t="shared" si="9"/>
        <v>25602.85</v>
      </c>
    </row>
    <row r="151" spans="1:18" ht="15" customHeight="1">
      <c r="A151" s="24">
        <v>76</v>
      </c>
      <c r="B151" s="23" t="s">
        <v>94</v>
      </c>
      <c r="C151" s="24" t="s">
        <v>18</v>
      </c>
      <c r="D151" s="23"/>
      <c r="E151" s="23" t="s">
        <v>95</v>
      </c>
      <c r="F151" s="23" t="s">
        <v>431</v>
      </c>
      <c r="G151" s="23" t="s">
        <v>142</v>
      </c>
      <c r="H151" s="25">
        <v>41</v>
      </c>
      <c r="I151" s="1">
        <v>23</v>
      </c>
      <c r="J151" s="26">
        <v>34</v>
      </c>
      <c r="K151" s="27">
        <f t="shared" si="7"/>
        <v>39751.32</v>
      </c>
      <c r="L151" s="27">
        <v>39751.32</v>
      </c>
      <c r="M151" s="27"/>
      <c r="N151" s="1">
        <v>9</v>
      </c>
      <c r="O151" s="27">
        <f t="shared" si="8"/>
        <v>13489.94</v>
      </c>
      <c r="P151" s="27">
        <v>13489.94</v>
      </c>
      <c r="Q151" s="27"/>
      <c r="R151" s="31">
        <f t="shared" si="9"/>
        <v>53241.26</v>
      </c>
    </row>
    <row r="152" spans="1:18" ht="15" customHeight="1">
      <c r="A152" s="24"/>
      <c r="B152" s="23" t="s">
        <v>128</v>
      </c>
      <c r="C152" s="24" t="s">
        <v>18</v>
      </c>
      <c r="D152" s="23"/>
      <c r="E152" s="23" t="s">
        <v>95</v>
      </c>
      <c r="F152" s="23" t="s">
        <v>319</v>
      </c>
      <c r="G152" s="23" t="s">
        <v>124</v>
      </c>
      <c r="H152" s="25">
        <v>15</v>
      </c>
      <c r="I152" s="1">
        <v>2</v>
      </c>
      <c r="J152" s="26">
        <v>2</v>
      </c>
      <c r="K152" s="27">
        <f t="shared" si="7"/>
        <v>6519.4</v>
      </c>
      <c r="L152" s="27">
        <v>6519.4</v>
      </c>
      <c r="M152" s="27"/>
      <c r="N152" s="1">
        <v>2</v>
      </c>
      <c r="O152" s="27">
        <f t="shared" si="8"/>
        <v>3942.68</v>
      </c>
      <c r="P152" s="27">
        <v>3942.68</v>
      </c>
      <c r="Q152" s="27"/>
      <c r="R152" s="31">
        <f t="shared" si="9"/>
        <v>10462.08</v>
      </c>
    </row>
    <row r="153" spans="1:18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123</v>
      </c>
      <c r="G153" s="23" t="s">
        <v>131</v>
      </c>
      <c r="H153" s="25">
        <v>0</v>
      </c>
      <c r="I153" s="2"/>
      <c r="J153" s="26"/>
      <c r="K153" s="27">
        <f t="shared" si="7"/>
        <v>0</v>
      </c>
      <c r="L153" s="27"/>
      <c r="M153" s="27"/>
      <c r="N153" s="2"/>
      <c r="O153" s="27">
        <f t="shared" si="8"/>
        <v>0</v>
      </c>
      <c r="P153" s="27"/>
      <c r="Q153" s="27"/>
      <c r="R153" s="31">
        <f t="shared" si="9"/>
        <v>0</v>
      </c>
    </row>
    <row r="154" spans="1:18" ht="15" customHeight="1">
      <c r="A154" s="24">
        <v>77</v>
      </c>
      <c r="B154" s="23" t="s">
        <v>96</v>
      </c>
      <c r="C154" s="24" t="s">
        <v>18</v>
      </c>
      <c r="D154" s="23"/>
      <c r="E154" s="23" t="s">
        <v>19</v>
      </c>
      <c r="F154" s="23" t="s">
        <v>432</v>
      </c>
      <c r="G154" s="23" t="s">
        <v>142</v>
      </c>
      <c r="H154" s="25">
        <v>8</v>
      </c>
      <c r="I154" s="1">
        <v>2</v>
      </c>
      <c r="J154" s="26">
        <v>2</v>
      </c>
      <c r="K154" s="27">
        <f t="shared" si="7"/>
        <v>7188.96</v>
      </c>
      <c r="L154" s="27">
        <v>7188.96</v>
      </c>
      <c r="M154" s="27"/>
      <c r="N154" s="1">
        <v>4</v>
      </c>
      <c r="O154" s="27">
        <f t="shared" si="8"/>
        <v>7739.93</v>
      </c>
      <c r="P154" s="27">
        <v>7739.93</v>
      </c>
      <c r="Q154" s="27"/>
      <c r="R154" s="31">
        <f t="shared" si="9"/>
        <v>14928.89</v>
      </c>
    </row>
    <row r="155" spans="1:18" ht="15" customHeight="1">
      <c r="A155" s="24"/>
      <c r="B155" s="23" t="s">
        <v>96</v>
      </c>
      <c r="C155" s="24" t="s">
        <v>18</v>
      </c>
      <c r="D155" s="23"/>
      <c r="E155" s="23" t="s">
        <v>19</v>
      </c>
      <c r="F155" s="23" t="s">
        <v>292</v>
      </c>
      <c r="G155" s="23" t="s">
        <v>131</v>
      </c>
      <c r="H155" s="25">
        <v>0</v>
      </c>
      <c r="I155" s="1"/>
      <c r="J155" s="26"/>
      <c r="K155" s="27">
        <f t="shared" si="7"/>
        <v>0</v>
      </c>
      <c r="L155" s="27"/>
      <c r="M155" s="27"/>
      <c r="N155" s="1">
        <v>2</v>
      </c>
      <c r="O155" s="27">
        <f t="shared" si="8"/>
        <v>6695.6</v>
      </c>
      <c r="P155" s="27">
        <v>6695.6</v>
      </c>
      <c r="Q155" s="27"/>
      <c r="R155" s="31">
        <f t="shared" si="9"/>
        <v>6695.6</v>
      </c>
    </row>
    <row r="156" spans="1:18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447</v>
      </c>
      <c r="G156" s="23" t="s">
        <v>122</v>
      </c>
      <c r="H156" s="25">
        <v>20</v>
      </c>
      <c r="I156" s="1">
        <v>6</v>
      </c>
      <c r="J156" s="26">
        <v>6</v>
      </c>
      <c r="K156" s="27">
        <f t="shared" si="7"/>
        <v>5286</v>
      </c>
      <c r="L156" s="27">
        <v>5286</v>
      </c>
      <c r="M156" s="27"/>
      <c r="N156" s="1">
        <v>6</v>
      </c>
      <c r="O156" s="27">
        <f t="shared" si="8"/>
        <v>12686.4</v>
      </c>
      <c r="P156" s="27">
        <v>12686.4</v>
      </c>
      <c r="Q156" s="27"/>
      <c r="R156" s="31">
        <f t="shared" si="9"/>
        <v>17972.400000000001</v>
      </c>
    </row>
    <row r="157" spans="1:18" ht="15" customHeight="1">
      <c r="A157" s="24"/>
      <c r="B157" s="23" t="s">
        <v>96</v>
      </c>
      <c r="C157" s="24" t="s">
        <v>18</v>
      </c>
      <c r="D157" s="23"/>
      <c r="E157" s="22" t="s">
        <v>19</v>
      </c>
      <c r="F157" s="23" t="s">
        <v>367</v>
      </c>
      <c r="G157" s="22" t="s">
        <v>136</v>
      </c>
      <c r="H157" s="45">
        <v>11</v>
      </c>
      <c r="I157" s="1">
        <v>2</v>
      </c>
      <c r="J157" s="26">
        <v>2</v>
      </c>
      <c r="K157" s="27">
        <f t="shared" si="7"/>
        <v>12713.48</v>
      </c>
      <c r="L157" s="27">
        <v>12713.48</v>
      </c>
      <c r="M157" s="27"/>
      <c r="N157" s="1">
        <v>2</v>
      </c>
      <c r="O157" s="27">
        <f t="shared" si="8"/>
        <v>0</v>
      </c>
      <c r="P157" s="27"/>
      <c r="Q157" s="27"/>
      <c r="R157" s="31">
        <f t="shared" si="9"/>
        <v>12713.48</v>
      </c>
    </row>
    <row r="158" spans="1:18" ht="15" customHeight="1">
      <c r="A158" s="24">
        <v>78</v>
      </c>
      <c r="B158" s="23" t="s">
        <v>97</v>
      </c>
      <c r="C158" s="24" t="s">
        <v>18</v>
      </c>
      <c r="D158" s="23"/>
      <c r="E158" s="23" t="s">
        <v>19</v>
      </c>
      <c r="F158" s="23" t="s">
        <v>462</v>
      </c>
      <c r="G158" s="23" t="s">
        <v>142</v>
      </c>
      <c r="H158" s="25">
        <v>6</v>
      </c>
      <c r="I158" s="1"/>
      <c r="J158" s="26"/>
      <c r="K158" s="27">
        <f t="shared" si="7"/>
        <v>0</v>
      </c>
      <c r="L158" s="27"/>
      <c r="M158" s="27"/>
      <c r="N158" s="1">
        <v>3</v>
      </c>
      <c r="O158" s="27">
        <f t="shared" si="8"/>
        <v>0</v>
      </c>
      <c r="P158" s="27"/>
      <c r="Q158" s="27"/>
      <c r="R158" s="31">
        <f t="shared" si="9"/>
        <v>0</v>
      </c>
    </row>
    <row r="159" spans="1:18" ht="15" customHeight="1">
      <c r="A159" s="24">
        <v>79</v>
      </c>
      <c r="B159" s="23" t="s">
        <v>98</v>
      </c>
      <c r="C159" s="24" t="s">
        <v>18</v>
      </c>
      <c r="D159" s="23"/>
      <c r="E159" s="23" t="s">
        <v>19</v>
      </c>
      <c r="F159" s="23" t="s">
        <v>433</v>
      </c>
      <c r="G159" s="23" t="s">
        <v>142</v>
      </c>
      <c r="H159" s="25">
        <v>24</v>
      </c>
      <c r="I159" s="1">
        <v>17</v>
      </c>
      <c r="J159" s="26">
        <v>18</v>
      </c>
      <c r="K159" s="27">
        <f t="shared" si="7"/>
        <v>14455.97</v>
      </c>
      <c r="L159" s="27">
        <v>14455.97</v>
      </c>
      <c r="M159" s="27"/>
      <c r="N159" s="1">
        <v>9</v>
      </c>
      <c r="O159" s="27">
        <f t="shared" si="8"/>
        <v>35129.230000000003</v>
      </c>
      <c r="P159" s="27">
        <v>35129.230000000003</v>
      </c>
      <c r="Q159" s="27"/>
      <c r="R159" s="31">
        <f t="shared" si="9"/>
        <v>49585.200000000004</v>
      </c>
    </row>
    <row r="160" spans="1:18" ht="15" customHeight="1">
      <c r="A160" s="24">
        <v>80</v>
      </c>
      <c r="B160" s="23" t="s">
        <v>99</v>
      </c>
      <c r="C160" s="24" t="s">
        <v>18</v>
      </c>
      <c r="D160" s="23"/>
      <c r="E160" s="23" t="s">
        <v>19</v>
      </c>
      <c r="F160" s="23" t="s">
        <v>120</v>
      </c>
      <c r="G160" s="23" t="s">
        <v>142</v>
      </c>
      <c r="H160" s="25">
        <v>0</v>
      </c>
      <c r="I160" s="1"/>
      <c r="J160" s="26"/>
      <c r="K160" s="27">
        <f t="shared" si="7"/>
        <v>0</v>
      </c>
      <c r="L160" s="27"/>
      <c r="M160" s="27"/>
      <c r="N160" s="1">
        <v>2</v>
      </c>
      <c r="O160" s="27">
        <f t="shared" si="8"/>
        <v>1923.17</v>
      </c>
      <c r="P160" s="27">
        <v>1923.17</v>
      </c>
      <c r="Q160" s="27"/>
      <c r="R160" s="31">
        <f t="shared" si="9"/>
        <v>1923.17</v>
      </c>
    </row>
    <row r="161" spans="1:18" ht="24.6" customHeight="1">
      <c r="A161" s="29">
        <v>81</v>
      </c>
      <c r="B161" s="30" t="s">
        <v>100</v>
      </c>
      <c r="C161" s="29" t="s">
        <v>30</v>
      </c>
      <c r="D161" s="30" t="s">
        <v>101</v>
      </c>
      <c r="E161" s="30" t="s">
        <v>19</v>
      </c>
      <c r="F161" s="23" t="s">
        <v>434</v>
      </c>
      <c r="G161" s="30" t="s">
        <v>142</v>
      </c>
      <c r="H161" s="25">
        <v>12</v>
      </c>
      <c r="I161" s="1"/>
      <c r="J161" s="26"/>
      <c r="K161" s="27">
        <f t="shared" si="7"/>
        <v>0</v>
      </c>
      <c r="L161" s="27"/>
      <c r="M161" s="27"/>
      <c r="N161" s="1"/>
      <c r="O161" s="27">
        <f t="shared" si="8"/>
        <v>0</v>
      </c>
      <c r="P161" s="27"/>
      <c r="Q161" s="27"/>
      <c r="R161" s="31">
        <f t="shared" si="9"/>
        <v>0</v>
      </c>
    </row>
    <row r="162" spans="1:18" ht="29.25" customHeight="1">
      <c r="A162" s="29"/>
      <c r="B162" s="30" t="s">
        <v>100</v>
      </c>
      <c r="C162" s="29" t="s">
        <v>30</v>
      </c>
      <c r="D162" s="30" t="s">
        <v>101</v>
      </c>
      <c r="E162" s="30" t="s">
        <v>19</v>
      </c>
      <c r="F162" s="30" t="s">
        <v>292</v>
      </c>
      <c r="G162" s="30" t="s">
        <v>122</v>
      </c>
      <c r="H162" s="25">
        <v>0</v>
      </c>
      <c r="I162" s="1"/>
      <c r="J162" s="26"/>
      <c r="K162" s="27">
        <f t="shared" si="7"/>
        <v>0</v>
      </c>
      <c r="L162" s="27"/>
      <c r="M162" s="27"/>
      <c r="N162" s="1"/>
      <c r="O162" s="27">
        <f t="shared" si="8"/>
        <v>0</v>
      </c>
      <c r="P162" s="27"/>
      <c r="Q162" s="27"/>
      <c r="R162" s="31">
        <f t="shared" si="9"/>
        <v>0</v>
      </c>
    </row>
    <row r="163" spans="1:18" ht="26.25" customHeight="1">
      <c r="A163" s="46">
        <v>82</v>
      </c>
      <c r="B163" s="60" t="s">
        <v>144</v>
      </c>
      <c r="C163" s="46" t="s">
        <v>18</v>
      </c>
      <c r="D163" s="60"/>
      <c r="E163" s="60" t="s">
        <v>104</v>
      </c>
      <c r="F163" s="60" t="s">
        <v>120</v>
      </c>
      <c r="G163" s="60" t="s">
        <v>142</v>
      </c>
      <c r="H163" s="61">
        <v>0</v>
      </c>
      <c r="I163" s="1"/>
      <c r="J163" s="26"/>
      <c r="K163" s="27">
        <f t="shared" si="7"/>
        <v>0</v>
      </c>
      <c r="L163" s="63"/>
      <c r="M163" s="63"/>
      <c r="N163" s="1"/>
      <c r="O163" s="27">
        <f t="shared" si="8"/>
        <v>0</v>
      </c>
      <c r="P163" s="63"/>
      <c r="Q163" s="63"/>
      <c r="R163" s="31">
        <f t="shared" si="9"/>
        <v>0</v>
      </c>
    </row>
    <row r="164" spans="1:18" ht="15.75" customHeight="1">
      <c r="A164" s="24">
        <v>83</v>
      </c>
      <c r="B164" s="23" t="s">
        <v>102</v>
      </c>
      <c r="C164" s="24" t="s">
        <v>18</v>
      </c>
      <c r="D164" s="23"/>
      <c r="E164" s="23" t="s">
        <v>19</v>
      </c>
      <c r="F164" s="60" t="s">
        <v>120</v>
      </c>
      <c r="G164" s="23" t="s">
        <v>142</v>
      </c>
      <c r="H164" s="25">
        <v>0</v>
      </c>
      <c r="I164" s="1"/>
      <c r="J164" s="26"/>
      <c r="K164" s="27">
        <f t="shared" si="7"/>
        <v>0</v>
      </c>
      <c r="L164" s="27"/>
      <c r="M164" s="27"/>
      <c r="N164" s="1"/>
      <c r="O164" s="27">
        <f t="shared" si="8"/>
        <v>0</v>
      </c>
      <c r="P164" s="27"/>
      <c r="Q164" s="27"/>
      <c r="R164" s="31">
        <f t="shared" si="9"/>
        <v>0</v>
      </c>
    </row>
    <row r="165" spans="1:18" ht="15" customHeight="1">
      <c r="A165" s="24">
        <v>84</v>
      </c>
      <c r="B165" s="23" t="s">
        <v>103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7"/>
        <v>0</v>
      </c>
      <c r="L165" s="27"/>
      <c r="M165" s="27"/>
      <c r="N165" s="1">
        <v>1</v>
      </c>
      <c r="O165" s="27">
        <f t="shared" si="8"/>
        <v>12670.26</v>
      </c>
      <c r="P165" s="27">
        <v>12670.26</v>
      </c>
      <c r="Q165" s="27"/>
      <c r="R165" s="31">
        <f t="shared" si="9"/>
        <v>12670.26</v>
      </c>
    </row>
    <row r="166" spans="1:18" ht="15" customHeight="1">
      <c r="A166" s="24"/>
      <c r="B166" s="23" t="s">
        <v>103</v>
      </c>
      <c r="C166" s="24" t="s">
        <v>18</v>
      </c>
      <c r="D166" s="23"/>
      <c r="E166" s="23" t="s">
        <v>19</v>
      </c>
      <c r="F166" s="23" t="s">
        <v>456</v>
      </c>
      <c r="G166" s="23" t="s">
        <v>122</v>
      </c>
      <c r="H166" s="25">
        <v>9</v>
      </c>
      <c r="I166" s="1"/>
      <c r="J166" s="26"/>
      <c r="K166" s="27">
        <f t="shared" si="7"/>
        <v>0</v>
      </c>
      <c r="L166" s="27"/>
      <c r="M166" s="27"/>
      <c r="N166" s="1"/>
      <c r="O166" s="27">
        <f t="shared" si="8"/>
        <v>2731.1</v>
      </c>
      <c r="P166" s="27">
        <v>2731.1</v>
      </c>
      <c r="Q166" s="27"/>
      <c r="R166" s="31">
        <f t="shared" si="9"/>
        <v>2731.1</v>
      </c>
    </row>
    <row r="167" spans="1:18" ht="15" customHeight="1">
      <c r="A167" s="41">
        <v>85</v>
      </c>
      <c r="B167" s="37" t="s">
        <v>302</v>
      </c>
      <c r="C167" s="41" t="s">
        <v>18</v>
      </c>
      <c r="D167" s="37"/>
      <c r="E167" s="37" t="s">
        <v>104</v>
      </c>
      <c r="F167" s="37" t="s">
        <v>461</v>
      </c>
      <c r="G167" s="37" t="s">
        <v>142</v>
      </c>
      <c r="H167" s="42">
        <v>18</v>
      </c>
      <c r="I167" s="40">
        <v>12</v>
      </c>
      <c r="J167" s="43">
        <v>12</v>
      </c>
      <c r="K167" s="27">
        <f t="shared" si="7"/>
        <v>0</v>
      </c>
      <c r="L167" s="39"/>
      <c r="M167" s="39"/>
      <c r="N167" s="40"/>
      <c r="O167" s="27">
        <f t="shared" si="8"/>
        <v>0</v>
      </c>
      <c r="P167" s="39"/>
      <c r="Q167" s="39"/>
      <c r="R167" s="31">
        <f t="shared" si="9"/>
        <v>0</v>
      </c>
    </row>
    <row r="168" spans="1:18" ht="15" customHeight="1">
      <c r="A168" s="24"/>
      <c r="B168" s="23" t="s">
        <v>302</v>
      </c>
      <c r="C168" s="24" t="s">
        <v>18</v>
      </c>
      <c r="D168" s="23"/>
      <c r="E168" s="23" t="s">
        <v>19</v>
      </c>
      <c r="F168" s="23" t="s">
        <v>348</v>
      </c>
      <c r="G168" s="23" t="s">
        <v>122</v>
      </c>
      <c r="H168" s="25">
        <v>21</v>
      </c>
      <c r="I168" s="1">
        <v>4</v>
      </c>
      <c r="J168" s="26">
        <v>4</v>
      </c>
      <c r="K168" s="27">
        <f t="shared" si="7"/>
        <v>7752.8</v>
      </c>
      <c r="L168" s="27">
        <v>7752.8</v>
      </c>
      <c r="M168" s="27"/>
      <c r="N168" s="1"/>
      <c r="O168" s="27">
        <f t="shared" si="8"/>
        <v>0</v>
      </c>
      <c r="P168" s="27"/>
      <c r="Q168" s="27"/>
      <c r="R168" s="31">
        <f t="shared" si="9"/>
        <v>7752.8</v>
      </c>
    </row>
    <row r="169" spans="1:18" ht="15" customHeight="1">
      <c r="A169" s="24">
        <v>86</v>
      </c>
      <c r="B169" s="23" t="s">
        <v>328</v>
      </c>
      <c r="C169" s="24" t="s">
        <v>18</v>
      </c>
      <c r="D169" s="23"/>
      <c r="E169" s="23" t="s">
        <v>19</v>
      </c>
      <c r="F169" s="23" t="s">
        <v>347</v>
      </c>
      <c r="G169" s="23" t="s">
        <v>122</v>
      </c>
      <c r="H169" s="25">
        <v>12</v>
      </c>
      <c r="I169" s="1">
        <v>1</v>
      </c>
      <c r="J169" s="26">
        <v>1</v>
      </c>
      <c r="K169" s="27">
        <f t="shared" si="7"/>
        <v>1585.8</v>
      </c>
      <c r="L169" s="27">
        <v>1585.8</v>
      </c>
      <c r="M169" s="27"/>
      <c r="N169" s="1"/>
      <c r="O169" s="27">
        <f t="shared" si="8"/>
        <v>0</v>
      </c>
      <c r="P169" s="27"/>
      <c r="Q169" s="27"/>
      <c r="R169" s="31">
        <f t="shared" si="9"/>
        <v>1585.8</v>
      </c>
    </row>
    <row r="170" spans="1:18" ht="15" customHeight="1">
      <c r="A170" s="24">
        <v>87</v>
      </c>
      <c r="B170" s="23" t="s">
        <v>314</v>
      </c>
      <c r="C170" s="24" t="s">
        <v>18</v>
      </c>
      <c r="D170" s="23"/>
      <c r="E170" s="23" t="s">
        <v>460</v>
      </c>
      <c r="F170" s="23" t="s">
        <v>435</v>
      </c>
      <c r="G170" s="23" t="s">
        <v>142</v>
      </c>
      <c r="H170" s="25">
        <v>5</v>
      </c>
      <c r="I170" s="1">
        <v>1</v>
      </c>
      <c r="J170" s="26">
        <v>1</v>
      </c>
      <c r="K170" s="27">
        <f t="shared" si="7"/>
        <v>0</v>
      </c>
      <c r="L170" s="27"/>
      <c r="M170" s="27"/>
      <c r="N170" s="1"/>
      <c r="O170" s="27">
        <f t="shared" si="8"/>
        <v>0</v>
      </c>
      <c r="P170" s="27"/>
      <c r="Q170" s="27"/>
      <c r="R170" s="31">
        <f t="shared" si="9"/>
        <v>0</v>
      </c>
    </row>
    <row r="171" spans="1:18" ht="15" customHeight="1">
      <c r="A171" s="41"/>
      <c r="B171" s="37" t="s">
        <v>314</v>
      </c>
      <c r="C171" s="41" t="s">
        <v>18</v>
      </c>
      <c r="D171" s="37"/>
      <c r="E171" s="37" t="s">
        <v>460</v>
      </c>
      <c r="F171" s="37" t="s">
        <v>474</v>
      </c>
      <c r="G171" s="37" t="s">
        <v>131</v>
      </c>
      <c r="H171" s="42">
        <v>2</v>
      </c>
      <c r="I171" s="40"/>
      <c r="J171" s="43"/>
      <c r="K171" s="27">
        <f t="shared" si="7"/>
        <v>0</v>
      </c>
      <c r="L171" s="39"/>
      <c r="M171" s="39"/>
      <c r="N171" s="40"/>
      <c r="O171" s="27">
        <f t="shared" si="8"/>
        <v>0</v>
      </c>
      <c r="P171" s="39"/>
      <c r="Q171" s="39"/>
      <c r="R171" s="31">
        <f t="shared" si="9"/>
        <v>0</v>
      </c>
    </row>
    <row r="172" spans="1:18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465</v>
      </c>
      <c r="G172" s="23" t="s">
        <v>136</v>
      </c>
      <c r="H172" s="25">
        <v>31</v>
      </c>
      <c r="I172" s="1">
        <v>1</v>
      </c>
      <c r="J172" s="26">
        <v>1</v>
      </c>
      <c r="K172" s="27">
        <f t="shared" si="7"/>
        <v>1938.2</v>
      </c>
      <c r="L172" s="27">
        <v>1938.2</v>
      </c>
      <c r="M172" s="27"/>
      <c r="N172" s="1"/>
      <c r="O172" s="27">
        <f t="shared" si="8"/>
        <v>0</v>
      </c>
      <c r="P172" s="27"/>
      <c r="Q172" s="27"/>
      <c r="R172" s="31">
        <f t="shared" si="9"/>
        <v>1938.2</v>
      </c>
    </row>
    <row r="173" spans="1:18" ht="15" customHeight="1">
      <c r="A173" s="24">
        <v>88</v>
      </c>
      <c r="B173" s="23" t="s">
        <v>330</v>
      </c>
      <c r="C173" s="24" t="s">
        <v>18</v>
      </c>
      <c r="D173" s="23"/>
      <c r="E173" s="23" t="s">
        <v>104</v>
      </c>
      <c r="F173" s="23" t="s">
        <v>341</v>
      </c>
      <c r="G173" s="23" t="s">
        <v>131</v>
      </c>
      <c r="H173" s="25">
        <v>12</v>
      </c>
      <c r="I173" s="1">
        <v>10</v>
      </c>
      <c r="J173" s="26">
        <v>10</v>
      </c>
      <c r="K173" s="27">
        <f t="shared" si="7"/>
        <v>17377.599999999999</v>
      </c>
      <c r="L173" s="27">
        <v>17377.599999999999</v>
      </c>
      <c r="M173" s="27"/>
      <c r="N173" s="1"/>
      <c r="O173" s="27">
        <f t="shared" si="8"/>
        <v>0</v>
      </c>
      <c r="P173" s="27"/>
      <c r="Q173" s="27"/>
      <c r="R173" s="31">
        <f t="shared" si="9"/>
        <v>17377.599999999999</v>
      </c>
    </row>
    <row r="174" spans="1:18" ht="15" customHeight="1">
      <c r="A174" s="24"/>
      <c r="B174" s="23" t="s">
        <v>330</v>
      </c>
      <c r="C174" s="24" t="s">
        <v>18</v>
      </c>
      <c r="D174" s="23"/>
      <c r="E174" s="23" t="s">
        <v>19</v>
      </c>
      <c r="F174" s="23" t="s">
        <v>346</v>
      </c>
      <c r="G174" s="23" t="s">
        <v>122</v>
      </c>
      <c r="H174" s="25">
        <v>11</v>
      </c>
      <c r="I174" s="1">
        <v>3</v>
      </c>
      <c r="J174" s="26">
        <v>3</v>
      </c>
      <c r="K174" s="27">
        <f t="shared" si="7"/>
        <v>7979.15</v>
      </c>
      <c r="L174" s="27">
        <v>7979.15</v>
      </c>
      <c r="M174" s="27"/>
      <c r="N174" s="1"/>
      <c r="O174" s="27">
        <f t="shared" si="8"/>
        <v>0</v>
      </c>
      <c r="P174" s="27"/>
      <c r="Q174" s="27"/>
      <c r="R174" s="31">
        <f t="shared" si="9"/>
        <v>7979.15</v>
      </c>
    </row>
    <row r="175" spans="1:18" ht="24.75" customHeight="1">
      <c r="A175" s="29">
        <v>89</v>
      </c>
      <c r="B175" s="30" t="s">
        <v>105</v>
      </c>
      <c r="C175" s="29" t="s">
        <v>30</v>
      </c>
      <c r="D175" s="30" t="s">
        <v>106</v>
      </c>
      <c r="E175" s="30" t="s">
        <v>19</v>
      </c>
      <c r="F175" s="30" t="s">
        <v>436</v>
      </c>
      <c r="G175" s="30" t="s">
        <v>142</v>
      </c>
      <c r="H175" s="25">
        <v>16</v>
      </c>
      <c r="I175" s="1"/>
      <c r="J175" s="26"/>
      <c r="K175" s="27">
        <f t="shared" si="7"/>
        <v>0</v>
      </c>
      <c r="L175" s="27"/>
      <c r="M175" s="27"/>
      <c r="N175" s="1"/>
      <c r="O175" s="27">
        <f t="shared" si="8"/>
        <v>23296.730000000003</v>
      </c>
      <c r="P175" s="27">
        <v>23296.730000000003</v>
      </c>
      <c r="Q175" s="27"/>
      <c r="R175" s="31">
        <f t="shared" si="9"/>
        <v>23296.730000000003</v>
      </c>
    </row>
    <row r="176" spans="1:18" ht="24.75" customHeight="1">
      <c r="A176" s="29">
        <v>90</v>
      </c>
      <c r="B176" s="30" t="s">
        <v>315</v>
      </c>
      <c r="C176" s="29" t="s">
        <v>18</v>
      </c>
      <c r="D176" s="30"/>
      <c r="E176" s="30" t="s">
        <v>19</v>
      </c>
      <c r="F176" s="30" t="s">
        <v>437</v>
      </c>
      <c r="G176" s="30" t="s">
        <v>142</v>
      </c>
      <c r="H176" s="25">
        <v>12</v>
      </c>
      <c r="I176" s="1">
        <v>10</v>
      </c>
      <c r="J176" s="26">
        <v>15</v>
      </c>
      <c r="K176" s="27">
        <f t="shared" si="7"/>
        <v>0</v>
      </c>
      <c r="L176" s="27"/>
      <c r="M176" s="27"/>
      <c r="N176" s="1"/>
      <c r="O176" s="27">
        <f t="shared" si="8"/>
        <v>0</v>
      </c>
      <c r="P176" s="27"/>
      <c r="Q176" s="27"/>
      <c r="R176" s="31">
        <f t="shared" si="9"/>
        <v>0</v>
      </c>
    </row>
    <row r="177" spans="1:18" ht="24.75" customHeight="1">
      <c r="A177" s="29"/>
      <c r="B177" s="30" t="s">
        <v>315</v>
      </c>
      <c r="C177" s="29" t="s">
        <v>18</v>
      </c>
      <c r="D177" s="30"/>
      <c r="E177" s="30" t="s">
        <v>322</v>
      </c>
      <c r="F177" s="30" t="s">
        <v>323</v>
      </c>
      <c r="G177" s="30" t="s">
        <v>124</v>
      </c>
      <c r="H177" s="25">
        <v>7</v>
      </c>
      <c r="I177" s="1"/>
      <c r="J177" s="26"/>
      <c r="K177" s="27">
        <f t="shared" si="7"/>
        <v>0</v>
      </c>
      <c r="L177" s="27"/>
      <c r="M177" s="27"/>
      <c r="N177" s="1"/>
      <c r="O177" s="27">
        <f t="shared" si="8"/>
        <v>0</v>
      </c>
      <c r="P177" s="27"/>
      <c r="Q177" s="27"/>
      <c r="R177" s="31">
        <f t="shared" si="9"/>
        <v>0</v>
      </c>
    </row>
    <row r="178" spans="1:18" ht="38.450000000000003" customHeight="1">
      <c r="A178" s="29">
        <v>91</v>
      </c>
      <c r="B178" s="30" t="s">
        <v>265</v>
      </c>
      <c r="C178" s="29" t="s">
        <v>18</v>
      </c>
      <c r="D178" s="30"/>
      <c r="E178" s="30" t="s">
        <v>19</v>
      </c>
      <c r="F178" s="30" t="s">
        <v>123</v>
      </c>
      <c r="G178" s="30" t="s">
        <v>142</v>
      </c>
      <c r="H178" s="25">
        <v>0</v>
      </c>
      <c r="I178" s="1"/>
      <c r="J178" s="26"/>
      <c r="K178" s="27">
        <f t="shared" si="7"/>
        <v>0</v>
      </c>
      <c r="L178" s="27"/>
      <c r="M178" s="27"/>
      <c r="N178" s="1"/>
      <c r="O178" s="27">
        <f t="shared" si="8"/>
        <v>0</v>
      </c>
      <c r="P178" s="27"/>
      <c r="Q178" s="27"/>
      <c r="R178" s="31">
        <f t="shared" si="9"/>
        <v>0</v>
      </c>
    </row>
    <row r="179" spans="1:18" ht="38.450000000000003" customHeight="1">
      <c r="A179" s="24">
        <v>92</v>
      </c>
      <c r="B179" s="23" t="s">
        <v>107</v>
      </c>
      <c r="C179" s="24" t="s">
        <v>18</v>
      </c>
      <c r="D179" s="23"/>
      <c r="E179" s="23" t="s">
        <v>41</v>
      </c>
      <c r="F179" s="30" t="s">
        <v>438</v>
      </c>
      <c r="G179" s="23" t="s">
        <v>142</v>
      </c>
      <c r="H179" s="25">
        <v>2</v>
      </c>
      <c r="I179" s="1">
        <v>1</v>
      </c>
      <c r="J179" s="44">
        <v>1</v>
      </c>
      <c r="K179" s="27">
        <f t="shared" si="7"/>
        <v>0</v>
      </c>
      <c r="L179" s="27"/>
      <c r="M179" s="27"/>
      <c r="N179" s="1">
        <v>6</v>
      </c>
      <c r="O179" s="27">
        <f t="shared" si="8"/>
        <v>9570.130000000001</v>
      </c>
      <c r="P179" s="27">
        <f>1221.57+1977.23+6371.33</f>
        <v>9570.130000000001</v>
      </c>
      <c r="Q179" s="27"/>
      <c r="R179" s="31">
        <f t="shared" si="9"/>
        <v>9570.130000000001</v>
      </c>
    </row>
    <row r="180" spans="1:18" ht="15.75" customHeight="1">
      <c r="A180" s="24"/>
      <c r="B180" s="23" t="s">
        <v>107</v>
      </c>
      <c r="C180" s="24" t="s">
        <v>18</v>
      </c>
      <c r="D180" s="23"/>
      <c r="E180" s="23" t="s">
        <v>41</v>
      </c>
      <c r="F180" s="23" t="s">
        <v>464</v>
      </c>
      <c r="G180" s="23" t="s">
        <v>136</v>
      </c>
      <c r="H180" s="25">
        <v>14</v>
      </c>
      <c r="I180" s="2">
        <v>7</v>
      </c>
      <c r="J180" s="26">
        <v>7</v>
      </c>
      <c r="K180" s="27">
        <f t="shared" si="7"/>
        <v>16959.580000000002</v>
      </c>
      <c r="L180" s="27">
        <v>16959.580000000002</v>
      </c>
      <c r="M180" s="27"/>
      <c r="N180" s="2">
        <v>19</v>
      </c>
      <c r="O180" s="27">
        <f t="shared" si="8"/>
        <v>31810.799999999999</v>
      </c>
      <c r="P180" s="27">
        <v>31810.799999999999</v>
      </c>
      <c r="Q180" s="27"/>
      <c r="R180" s="31">
        <f t="shared" si="9"/>
        <v>48770.380000000005</v>
      </c>
    </row>
    <row r="181" spans="1:18" ht="16.5" customHeight="1">
      <c r="A181" s="24">
        <v>93</v>
      </c>
      <c r="B181" s="23" t="s">
        <v>108</v>
      </c>
      <c r="C181" s="24" t="s">
        <v>18</v>
      </c>
      <c r="D181" s="23"/>
      <c r="E181" s="23" t="s">
        <v>19</v>
      </c>
      <c r="F181" s="23" t="s">
        <v>439</v>
      </c>
      <c r="G181" s="23" t="s">
        <v>142</v>
      </c>
      <c r="H181" s="25">
        <v>50</v>
      </c>
      <c r="I181" s="1">
        <v>46</v>
      </c>
      <c r="J181" s="26">
        <v>46</v>
      </c>
      <c r="K181" s="27">
        <f t="shared" si="7"/>
        <v>18249.71</v>
      </c>
      <c r="L181" s="27">
        <v>18249.71</v>
      </c>
      <c r="M181" s="27"/>
      <c r="N181" s="1">
        <v>8</v>
      </c>
      <c r="O181" s="27">
        <f t="shared" si="8"/>
        <v>106471.7</v>
      </c>
      <c r="P181" s="27">
        <v>106471.7</v>
      </c>
      <c r="Q181" s="27"/>
      <c r="R181" s="31">
        <f t="shared" si="9"/>
        <v>124721.41</v>
      </c>
    </row>
    <row r="182" spans="1:18" ht="16.5" customHeight="1">
      <c r="A182" s="24"/>
      <c r="B182" s="23" t="s">
        <v>108</v>
      </c>
      <c r="C182" s="24" t="s">
        <v>18</v>
      </c>
      <c r="D182" s="23"/>
      <c r="E182" s="23" t="s">
        <v>19</v>
      </c>
      <c r="F182" s="23" t="s">
        <v>345</v>
      </c>
      <c r="G182" s="23" t="s">
        <v>122</v>
      </c>
      <c r="H182" s="25">
        <v>17</v>
      </c>
      <c r="I182" s="1">
        <v>6</v>
      </c>
      <c r="J182" s="26">
        <v>6</v>
      </c>
      <c r="K182" s="27">
        <f t="shared" si="7"/>
        <v>4786.6000000000004</v>
      </c>
      <c r="L182" s="27">
        <v>4786.6000000000004</v>
      </c>
      <c r="M182" s="27"/>
      <c r="N182" s="1">
        <v>7</v>
      </c>
      <c r="O182" s="27">
        <f t="shared" si="8"/>
        <v>14216.32</v>
      </c>
      <c r="P182" s="27">
        <v>14216.32</v>
      </c>
      <c r="Q182" s="27"/>
      <c r="R182" s="31">
        <f t="shared" si="9"/>
        <v>19002.919999999998</v>
      </c>
    </row>
    <row r="183" spans="1:18" ht="16.5" customHeight="1">
      <c r="A183" s="24">
        <v>94</v>
      </c>
      <c r="B183" s="23" t="s">
        <v>146</v>
      </c>
      <c r="C183" s="24" t="s">
        <v>18</v>
      </c>
      <c r="D183" s="23"/>
      <c r="E183" s="23" t="s">
        <v>104</v>
      </c>
      <c r="F183" s="23" t="s">
        <v>475</v>
      </c>
      <c r="G183" s="23" t="s">
        <v>142</v>
      </c>
      <c r="H183" s="25">
        <v>38</v>
      </c>
      <c r="I183" s="1">
        <v>24</v>
      </c>
      <c r="J183" s="26">
        <v>24</v>
      </c>
      <c r="K183" s="27">
        <f t="shared" si="7"/>
        <v>0</v>
      </c>
      <c r="L183" s="27"/>
      <c r="M183" s="27"/>
      <c r="N183" s="1">
        <v>4</v>
      </c>
      <c r="O183" s="27">
        <f t="shared" si="8"/>
        <v>16604.21</v>
      </c>
      <c r="P183" s="27">
        <f>14026.97+2577.24</f>
        <v>16604.21</v>
      </c>
      <c r="Q183" s="27"/>
      <c r="R183" s="31">
        <f t="shared" si="9"/>
        <v>16604.21</v>
      </c>
    </row>
    <row r="184" spans="1:18" ht="23.45" customHeight="1">
      <c r="A184" s="29">
        <v>95</v>
      </c>
      <c r="B184" s="30" t="s">
        <v>109</v>
      </c>
      <c r="C184" s="29" t="s">
        <v>52</v>
      </c>
      <c r="D184" s="30" t="s">
        <v>110</v>
      </c>
      <c r="E184" s="30" t="s">
        <v>19</v>
      </c>
      <c r="F184" s="30" t="s">
        <v>440</v>
      </c>
      <c r="G184" s="30" t="s">
        <v>142</v>
      </c>
      <c r="H184" s="25">
        <v>63</v>
      </c>
      <c r="I184" s="1">
        <v>56</v>
      </c>
      <c r="J184" s="26">
        <v>56</v>
      </c>
      <c r="K184" s="27">
        <f t="shared" si="7"/>
        <v>11917.66</v>
      </c>
      <c r="L184" s="27">
        <v>11917.66</v>
      </c>
      <c r="M184" s="27"/>
      <c r="N184" s="1">
        <v>18</v>
      </c>
      <c r="O184" s="27">
        <f t="shared" si="8"/>
        <v>98283.26</v>
      </c>
      <c r="P184" s="27">
        <v>98283.26</v>
      </c>
      <c r="Q184" s="27"/>
      <c r="R184" s="31">
        <f t="shared" si="9"/>
        <v>110200.92</v>
      </c>
    </row>
    <row r="185" spans="1:18" ht="27" customHeight="1">
      <c r="A185" s="29"/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344</v>
      </c>
      <c r="G185" s="30" t="s">
        <v>122</v>
      </c>
      <c r="H185" s="25">
        <v>34</v>
      </c>
      <c r="I185" s="1">
        <v>9</v>
      </c>
      <c r="J185" s="44">
        <v>9</v>
      </c>
      <c r="K185" s="27">
        <f t="shared" si="7"/>
        <v>20645.599999999999</v>
      </c>
      <c r="L185" s="27">
        <v>20645.599999999999</v>
      </c>
      <c r="M185" s="27"/>
      <c r="N185" s="1">
        <v>17</v>
      </c>
      <c r="O185" s="27">
        <f t="shared" si="8"/>
        <v>30487.919999999998</v>
      </c>
      <c r="P185" s="27">
        <v>30487.919999999998</v>
      </c>
      <c r="Q185" s="27"/>
      <c r="R185" s="31">
        <f t="shared" si="9"/>
        <v>51133.52</v>
      </c>
    </row>
    <row r="186" spans="1:18" ht="27.75" customHeight="1">
      <c r="A186" s="24">
        <v>96</v>
      </c>
      <c r="B186" s="23" t="s">
        <v>111</v>
      </c>
      <c r="C186" s="24" t="s">
        <v>18</v>
      </c>
      <c r="D186" s="23"/>
      <c r="E186" s="23" t="s">
        <v>112</v>
      </c>
      <c r="F186" s="23" t="s">
        <v>441</v>
      </c>
      <c r="G186" s="23" t="s">
        <v>142</v>
      </c>
      <c r="H186" s="25">
        <v>9</v>
      </c>
      <c r="I186" s="1">
        <v>6</v>
      </c>
      <c r="J186" s="26">
        <v>6</v>
      </c>
      <c r="K186" s="27">
        <f t="shared" si="7"/>
        <v>0</v>
      </c>
      <c r="L186" s="27"/>
      <c r="M186" s="27"/>
      <c r="N186" s="1">
        <v>9</v>
      </c>
      <c r="O186" s="27">
        <f t="shared" si="8"/>
        <v>27541.74</v>
      </c>
      <c r="P186" s="27">
        <v>27541.74</v>
      </c>
      <c r="Q186" s="27"/>
      <c r="R186" s="31">
        <f t="shared" si="9"/>
        <v>27541.74</v>
      </c>
    </row>
    <row r="187" spans="1:18" ht="16.5" customHeight="1">
      <c r="A187" s="24"/>
      <c r="B187" s="23" t="s">
        <v>111</v>
      </c>
      <c r="C187" s="24" t="s">
        <v>18</v>
      </c>
      <c r="D187" s="23"/>
      <c r="E187" s="23" t="s">
        <v>112</v>
      </c>
      <c r="F187" s="23" t="s">
        <v>466</v>
      </c>
      <c r="G187" s="23" t="s">
        <v>136</v>
      </c>
      <c r="H187" s="25">
        <v>10</v>
      </c>
      <c r="I187" s="2"/>
      <c r="J187" s="26"/>
      <c r="K187" s="27">
        <f t="shared" si="7"/>
        <v>881</v>
      </c>
      <c r="L187" s="27">
        <v>881</v>
      </c>
      <c r="M187" s="27"/>
      <c r="N187" s="2">
        <v>3</v>
      </c>
      <c r="O187" s="27">
        <f t="shared" si="8"/>
        <v>1991.2</v>
      </c>
      <c r="P187" s="27">
        <v>1991.2</v>
      </c>
      <c r="Q187" s="27"/>
      <c r="R187" s="31">
        <f t="shared" si="9"/>
        <v>2872.2</v>
      </c>
    </row>
    <row r="188" spans="1:18" ht="16.5" customHeight="1">
      <c r="A188" s="41">
        <v>97</v>
      </c>
      <c r="B188" s="37" t="s">
        <v>482</v>
      </c>
      <c r="C188" s="41" t="s">
        <v>18</v>
      </c>
      <c r="D188" s="37"/>
      <c r="E188" s="37" t="s">
        <v>104</v>
      </c>
      <c r="F188" s="37" t="s">
        <v>483</v>
      </c>
      <c r="G188" s="37" t="s">
        <v>122</v>
      </c>
      <c r="H188" s="42">
        <v>9</v>
      </c>
      <c r="I188" s="38">
        <v>2</v>
      </c>
      <c r="J188" s="43">
        <v>2</v>
      </c>
      <c r="K188" s="27">
        <f t="shared" si="7"/>
        <v>552.29999999999995</v>
      </c>
      <c r="L188" s="39">
        <v>552.29999999999995</v>
      </c>
      <c r="M188" s="39"/>
      <c r="N188" s="38"/>
      <c r="O188" s="27">
        <f t="shared" si="8"/>
        <v>0</v>
      </c>
      <c r="P188" s="39"/>
      <c r="Q188" s="39"/>
      <c r="R188" s="31">
        <f t="shared" si="9"/>
        <v>552.29999999999995</v>
      </c>
    </row>
    <row r="189" spans="1:18" ht="16.5" customHeight="1">
      <c r="A189" s="24">
        <v>98</v>
      </c>
      <c r="B189" s="23" t="s">
        <v>113</v>
      </c>
      <c r="C189" s="24" t="s">
        <v>18</v>
      </c>
      <c r="D189" s="23"/>
      <c r="E189" s="23" t="s">
        <v>19</v>
      </c>
      <c r="F189" s="23" t="s">
        <v>120</v>
      </c>
      <c r="G189" s="23" t="s">
        <v>142</v>
      </c>
      <c r="H189" s="25">
        <v>0</v>
      </c>
      <c r="I189" s="1"/>
      <c r="J189" s="26"/>
      <c r="K189" s="27">
        <f t="shared" si="7"/>
        <v>0</v>
      </c>
      <c r="L189" s="27"/>
      <c r="M189" s="27"/>
      <c r="N189" s="1">
        <v>3</v>
      </c>
      <c r="O189" s="27">
        <f t="shared" si="8"/>
        <v>4713.3500000000004</v>
      </c>
      <c r="P189" s="27">
        <f>660.75+4052.6</f>
        <v>4713.3500000000004</v>
      </c>
      <c r="Q189" s="27"/>
      <c r="R189" s="31">
        <f t="shared" si="9"/>
        <v>4713.3500000000004</v>
      </c>
    </row>
    <row r="190" spans="1:18" ht="18.75" customHeight="1">
      <c r="A190" s="24"/>
      <c r="B190" s="23" t="s">
        <v>113</v>
      </c>
      <c r="C190" s="24" t="s">
        <v>18</v>
      </c>
      <c r="D190" s="23"/>
      <c r="E190" s="23" t="s">
        <v>19</v>
      </c>
      <c r="F190" s="23" t="s">
        <v>469</v>
      </c>
      <c r="G190" s="23" t="s">
        <v>122</v>
      </c>
      <c r="H190" s="25">
        <v>31</v>
      </c>
      <c r="I190" s="1">
        <v>6</v>
      </c>
      <c r="J190" s="26">
        <v>6</v>
      </c>
      <c r="K190" s="27">
        <f t="shared" si="7"/>
        <v>21623.34</v>
      </c>
      <c r="L190" s="27">
        <v>21623.34</v>
      </c>
      <c r="M190" s="27"/>
      <c r="N190" s="1">
        <v>19</v>
      </c>
      <c r="O190" s="27">
        <f t="shared" si="8"/>
        <v>87493.26</v>
      </c>
      <c r="P190" s="27">
        <v>87493.26</v>
      </c>
      <c r="Q190" s="27"/>
      <c r="R190" s="31">
        <f t="shared" si="9"/>
        <v>109116.59999999999</v>
      </c>
    </row>
    <row r="191" spans="1:18" ht="20.25" customHeight="1">
      <c r="A191" s="24">
        <v>99</v>
      </c>
      <c r="B191" s="23" t="s">
        <v>114</v>
      </c>
      <c r="C191" s="24" t="s">
        <v>18</v>
      </c>
      <c r="D191" s="23"/>
      <c r="E191" s="23" t="s">
        <v>41</v>
      </c>
      <c r="F191" s="23" t="s">
        <v>443</v>
      </c>
      <c r="G191" s="23" t="s">
        <v>142</v>
      </c>
      <c r="H191" s="25">
        <v>10</v>
      </c>
      <c r="I191" s="1">
        <v>5</v>
      </c>
      <c r="J191" s="26">
        <v>6</v>
      </c>
      <c r="K191" s="27">
        <f t="shared" si="7"/>
        <v>3161.03</v>
      </c>
      <c r="L191" s="27">
        <v>3161.03</v>
      </c>
      <c r="M191" s="27"/>
      <c r="N191" s="1">
        <v>4</v>
      </c>
      <c r="O191" s="27">
        <f t="shared" si="8"/>
        <v>15866.6</v>
      </c>
      <c r="P191" s="27">
        <f>12416.6+3450</f>
        <v>15866.6</v>
      </c>
      <c r="Q191" s="27"/>
      <c r="R191" s="31">
        <f t="shared" si="9"/>
        <v>19027.63</v>
      </c>
    </row>
    <row r="192" spans="1:18" ht="16.899999999999999" customHeight="1">
      <c r="A192" s="24"/>
      <c r="B192" s="23" t="s">
        <v>141</v>
      </c>
      <c r="C192" s="24" t="s">
        <v>18</v>
      </c>
      <c r="D192" s="23"/>
      <c r="E192" s="23" t="s">
        <v>41</v>
      </c>
      <c r="F192" s="23" t="s">
        <v>368</v>
      </c>
      <c r="G192" s="23" t="s">
        <v>136</v>
      </c>
      <c r="H192" s="25">
        <v>12</v>
      </c>
      <c r="I192" s="2">
        <v>3</v>
      </c>
      <c r="J192" s="26">
        <v>3</v>
      </c>
      <c r="K192" s="27">
        <f t="shared" si="7"/>
        <v>12686.4</v>
      </c>
      <c r="L192" s="27">
        <v>12686.4</v>
      </c>
      <c r="M192" s="27"/>
      <c r="N192" s="2">
        <v>6</v>
      </c>
      <c r="O192" s="27">
        <f t="shared" si="8"/>
        <v>29073</v>
      </c>
      <c r="P192" s="27">
        <v>29073</v>
      </c>
      <c r="Q192" s="27"/>
      <c r="R192" s="31">
        <f t="shared" si="9"/>
        <v>41759.4</v>
      </c>
    </row>
    <row r="193" spans="1:18" ht="16.899999999999999" customHeight="1">
      <c r="A193" s="24">
        <v>100</v>
      </c>
      <c r="B193" s="23" t="s">
        <v>309</v>
      </c>
      <c r="C193" s="24" t="s">
        <v>18</v>
      </c>
      <c r="D193" s="23"/>
      <c r="E193" s="23" t="s">
        <v>19</v>
      </c>
      <c r="F193" s="23" t="s">
        <v>442</v>
      </c>
      <c r="G193" s="23" t="s">
        <v>142</v>
      </c>
      <c r="H193" s="25">
        <v>31</v>
      </c>
      <c r="I193" s="2">
        <v>27</v>
      </c>
      <c r="J193" s="26">
        <v>28</v>
      </c>
      <c r="K193" s="27">
        <f t="shared" si="7"/>
        <v>23580.67</v>
      </c>
      <c r="L193" s="27">
        <v>23580.67</v>
      </c>
      <c r="M193" s="27"/>
      <c r="N193" s="2"/>
      <c r="O193" s="27">
        <f t="shared" si="8"/>
        <v>0</v>
      </c>
      <c r="P193" s="27"/>
      <c r="Q193" s="27"/>
      <c r="R193" s="31">
        <f t="shared" si="9"/>
        <v>23580.67</v>
      </c>
    </row>
    <row r="194" spans="1:18" ht="16.899999999999999" customHeight="1">
      <c r="A194" s="24"/>
      <c r="B194" s="23" t="s">
        <v>309</v>
      </c>
      <c r="C194" s="24" t="s">
        <v>18</v>
      </c>
      <c r="D194" s="23"/>
      <c r="E194" s="23" t="s">
        <v>19</v>
      </c>
      <c r="F194" s="23" t="s">
        <v>343</v>
      </c>
      <c r="G194" s="23" t="s">
        <v>122</v>
      </c>
      <c r="H194" s="25">
        <v>8</v>
      </c>
      <c r="I194" s="2">
        <v>2</v>
      </c>
      <c r="J194" s="26">
        <v>2</v>
      </c>
      <c r="K194" s="27">
        <f t="shared" si="7"/>
        <v>1233.4000000000001</v>
      </c>
      <c r="L194" s="27">
        <v>1233.4000000000001</v>
      </c>
      <c r="M194" s="27"/>
      <c r="N194" s="2"/>
      <c r="O194" s="27">
        <f t="shared" si="8"/>
        <v>0</v>
      </c>
      <c r="P194" s="27"/>
      <c r="Q194" s="27"/>
      <c r="R194" s="31">
        <f t="shared" si="9"/>
        <v>1233.4000000000001</v>
      </c>
    </row>
    <row r="195" spans="1:18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324</v>
      </c>
      <c r="G195" s="23" t="s">
        <v>124</v>
      </c>
      <c r="H195" s="25">
        <v>1</v>
      </c>
      <c r="I195" s="2"/>
      <c r="J195" s="26"/>
      <c r="K195" s="27">
        <f t="shared" si="7"/>
        <v>0</v>
      </c>
      <c r="L195" s="27"/>
      <c r="M195" s="27"/>
      <c r="N195" s="2"/>
      <c r="O195" s="27">
        <f t="shared" si="8"/>
        <v>0</v>
      </c>
      <c r="P195" s="27"/>
      <c r="Q195" s="27"/>
      <c r="R195" s="31">
        <f t="shared" si="9"/>
        <v>0</v>
      </c>
    </row>
    <row r="196" spans="1:18" ht="24.6" customHeight="1">
      <c r="A196" s="29">
        <v>101</v>
      </c>
      <c r="B196" s="30" t="s">
        <v>115</v>
      </c>
      <c r="C196" s="29" t="s">
        <v>52</v>
      </c>
      <c r="D196" s="30" t="s">
        <v>110</v>
      </c>
      <c r="E196" s="30" t="s">
        <v>19</v>
      </c>
      <c r="F196" s="30"/>
      <c r="G196" s="30" t="s">
        <v>142</v>
      </c>
      <c r="H196" s="25">
        <v>0</v>
      </c>
      <c r="I196" s="1"/>
      <c r="J196" s="26"/>
      <c r="K196" s="27">
        <f t="shared" si="7"/>
        <v>0</v>
      </c>
      <c r="L196" s="27"/>
      <c r="M196" s="27"/>
      <c r="N196" s="1">
        <v>1</v>
      </c>
      <c r="O196" s="27">
        <f t="shared" si="8"/>
        <v>0</v>
      </c>
      <c r="P196" s="27"/>
      <c r="Q196" s="27"/>
      <c r="R196" s="31">
        <f t="shared" si="9"/>
        <v>0</v>
      </c>
    </row>
    <row r="197" spans="1:18" ht="32.25" customHeight="1">
      <c r="A197" s="29"/>
      <c r="B197" s="30" t="s">
        <v>115</v>
      </c>
      <c r="C197" s="29" t="s">
        <v>52</v>
      </c>
      <c r="D197" s="30" t="s">
        <v>110</v>
      </c>
      <c r="E197" s="30" t="s">
        <v>19</v>
      </c>
      <c r="F197" s="30" t="s">
        <v>292</v>
      </c>
      <c r="G197" s="30" t="s">
        <v>122</v>
      </c>
      <c r="H197" s="25">
        <v>0</v>
      </c>
      <c r="I197" s="1"/>
      <c r="J197" s="44"/>
      <c r="K197" s="27">
        <f t="shared" si="7"/>
        <v>0</v>
      </c>
      <c r="L197" s="27"/>
      <c r="M197" s="27"/>
      <c r="N197" s="1">
        <v>1</v>
      </c>
      <c r="O197" s="27">
        <f t="shared" si="8"/>
        <v>0</v>
      </c>
      <c r="P197" s="27"/>
      <c r="Q197" s="27"/>
      <c r="R197" s="31">
        <f t="shared" si="9"/>
        <v>0</v>
      </c>
    </row>
    <row r="198" spans="1:18" ht="34.9" customHeight="1">
      <c r="A198" s="29">
        <v>102</v>
      </c>
      <c r="B198" s="30" t="s">
        <v>116</v>
      </c>
      <c r="C198" s="29" t="s">
        <v>52</v>
      </c>
      <c r="D198" s="30" t="s">
        <v>117</v>
      </c>
      <c r="E198" s="30" t="s">
        <v>19</v>
      </c>
      <c r="F198" s="30" t="s">
        <v>444</v>
      </c>
      <c r="G198" s="30" t="s">
        <v>142</v>
      </c>
      <c r="H198" s="25">
        <v>45</v>
      </c>
      <c r="I198" s="1">
        <v>31</v>
      </c>
      <c r="J198" s="44">
        <v>32</v>
      </c>
      <c r="K198" s="27">
        <f t="shared" si="7"/>
        <v>39374.14</v>
      </c>
      <c r="L198" s="27">
        <v>39374.14</v>
      </c>
      <c r="M198" s="27"/>
      <c r="N198" s="1">
        <v>5</v>
      </c>
      <c r="O198" s="27">
        <f t="shared" si="8"/>
        <v>26089.42</v>
      </c>
      <c r="P198" s="27">
        <f>23453.46+1317.98+1317.98</f>
        <v>26089.42</v>
      </c>
      <c r="Q198" s="27"/>
      <c r="R198" s="31">
        <f t="shared" si="9"/>
        <v>65463.56</v>
      </c>
    </row>
    <row r="199" spans="1:18" ht="28.5" customHeight="1">
      <c r="A199" s="29">
        <v>103</v>
      </c>
      <c r="B199" s="30" t="s">
        <v>209</v>
      </c>
      <c r="C199" s="29" t="s">
        <v>18</v>
      </c>
      <c r="D199" s="30"/>
      <c r="E199" s="30" t="s">
        <v>19</v>
      </c>
      <c r="F199" s="30" t="s">
        <v>123</v>
      </c>
      <c r="G199" s="30" t="s">
        <v>142</v>
      </c>
      <c r="H199" s="25">
        <v>0</v>
      </c>
      <c r="I199" s="1"/>
      <c r="J199" s="44"/>
      <c r="K199" s="27">
        <f t="shared" si="7"/>
        <v>0</v>
      </c>
      <c r="L199" s="27"/>
      <c r="M199" s="27"/>
      <c r="N199" s="1"/>
      <c r="O199" s="27">
        <f t="shared" si="8"/>
        <v>0</v>
      </c>
      <c r="P199" s="27"/>
      <c r="Q199" s="27"/>
      <c r="R199" s="31">
        <f t="shared" si="9"/>
        <v>0</v>
      </c>
    </row>
    <row r="200" spans="1:18" ht="19.5" customHeight="1">
      <c r="A200" s="29">
        <v>104</v>
      </c>
      <c r="B200" s="30" t="s">
        <v>118</v>
      </c>
      <c r="C200" s="29" t="s">
        <v>18</v>
      </c>
      <c r="D200" s="30"/>
      <c r="E200" s="30" t="s">
        <v>41</v>
      </c>
      <c r="F200" s="30" t="s">
        <v>445</v>
      </c>
      <c r="G200" s="30" t="s">
        <v>142</v>
      </c>
      <c r="H200" s="25">
        <v>26</v>
      </c>
      <c r="I200" s="1">
        <v>14</v>
      </c>
      <c r="J200" s="44">
        <v>15</v>
      </c>
      <c r="K200" s="27">
        <f t="shared" si="7"/>
        <v>10009.780000000001</v>
      </c>
      <c r="L200" s="27">
        <v>10009.780000000001</v>
      </c>
      <c r="M200" s="27"/>
      <c r="N200" s="1">
        <v>25</v>
      </c>
      <c r="O200" s="27">
        <f t="shared" si="8"/>
        <v>36017.589999999997</v>
      </c>
      <c r="P200" s="27">
        <f>33365.57+2652.02</f>
        <v>36017.589999999997</v>
      </c>
      <c r="Q200" s="27"/>
      <c r="R200" s="31">
        <f t="shared" si="9"/>
        <v>46027.369999999995</v>
      </c>
    </row>
    <row r="201" spans="1:18" ht="30.6" customHeight="1">
      <c r="A201" s="24"/>
      <c r="B201" s="23" t="s">
        <v>118</v>
      </c>
      <c r="C201" s="24" t="s">
        <v>18</v>
      </c>
      <c r="D201" s="23"/>
      <c r="E201" s="23" t="s">
        <v>41</v>
      </c>
      <c r="F201" s="23" t="s">
        <v>298</v>
      </c>
      <c r="G201" s="23" t="s">
        <v>124</v>
      </c>
      <c r="H201" s="25">
        <v>0</v>
      </c>
      <c r="I201" s="1"/>
      <c r="J201" s="44"/>
      <c r="K201" s="27">
        <f t="shared" si="7"/>
        <v>0</v>
      </c>
      <c r="L201" s="27"/>
      <c r="M201" s="27"/>
      <c r="N201" s="1">
        <v>1</v>
      </c>
      <c r="O201" s="27">
        <f t="shared" si="8"/>
        <v>5462.2</v>
      </c>
      <c r="P201" s="27">
        <v>5462.2</v>
      </c>
      <c r="Q201" s="27"/>
      <c r="R201" s="31">
        <f t="shared" si="9"/>
        <v>5462.2</v>
      </c>
    </row>
    <row r="202" spans="1:18" ht="27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123</v>
      </c>
      <c r="G202" s="23" t="s">
        <v>136</v>
      </c>
      <c r="H202" s="25"/>
      <c r="I202" s="2"/>
      <c r="J202" s="26"/>
      <c r="K202" s="27">
        <f t="shared" si="7"/>
        <v>0</v>
      </c>
      <c r="L202" s="27"/>
      <c r="M202" s="27"/>
      <c r="N202" s="2"/>
      <c r="O202" s="27">
        <f t="shared" si="8"/>
        <v>0</v>
      </c>
      <c r="P202" s="27"/>
      <c r="Q202" s="27"/>
      <c r="R202" s="31">
        <f t="shared" si="9"/>
        <v>0</v>
      </c>
    </row>
    <row r="203" spans="1:18" ht="27" customHeight="1">
      <c r="A203" s="53">
        <v>105</v>
      </c>
      <c r="B203" s="54" t="s">
        <v>489</v>
      </c>
      <c r="C203" s="53" t="s">
        <v>18</v>
      </c>
      <c r="D203" s="54"/>
      <c r="E203" s="54" t="s">
        <v>50</v>
      </c>
      <c r="F203" s="54" t="s">
        <v>490</v>
      </c>
      <c r="G203" s="54" t="s">
        <v>124</v>
      </c>
      <c r="H203" s="55">
        <v>1</v>
      </c>
      <c r="I203" s="56"/>
      <c r="J203" s="57"/>
      <c r="K203" s="39"/>
      <c r="L203" s="58"/>
      <c r="M203" s="58"/>
      <c r="N203" s="56"/>
      <c r="O203" s="39"/>
      <c r="P203" s="58"/>
      <c r="Q203" s="58"/>
      <c r="R203" s="31">
        <f t="shared" ref="R203:R206" si="10">L203+P203</f>
        <v>0</v>
      </c>
    </row>
    <row r="204" spans="1:18" ht="27" customHeight="1">
      <c r="A204" s="46">
        <v>106</v>
      </c>
      <c r="B204" s="60" t="s">
        <v>325</v>
      </c>
      <c r="C204" s="46" t="s">
        <v>18</v>
      </c>
      <c r="D204" s="60"/>
      <c r="E204" s="60" t="s">
        <v>36</v>
      </c>
      <c r="F204" s="60" t="s">
        <v>446</v>
      </c>
      <c r="G204" s="60" t="s">
        <v>142</v>
      </c>
      <c r="H204" s="61">
        <v>13</v>
      </c>
      <c r="I204" s="32">
        <v>6</v>
      </c>
      <c r="J204" s="86">
        <v>6</v>
      </c>
      <c r="K204" s="27">
        <f t="shared" ref="K204:K206" si="11">L204+M204</f>
        <v>0</v>
      </c>
      <c r="L204" s="63"/>
      <c r="M204" s="63"/>
      <c r="N204" s="32"/>
      <c r="O204" s="27">
        <f t="shared" ref="O204:O206" si="12">P204+Q204</f>
        <v>0</v>
      </c>
      <c r="P204" s="63"/>
      <c r="Q204" s="63"/>
      <c r="R204" s="31">
        <f t="shared" si="10"/>
        <v>0</v>
      </c>
    </row>
    <row r="205" spans="1:18" ht="27" customHeight="1">
      <c r="A205" s="46"/>
      <c r="B205" s="23" t="s">
        <v>325</v>
      </c>
      <c r="C205" s="24" t="s">
        <v>18</v>
      </c>
      <c r="D205" s="23"/>
      <c r="E205" s="23" t="s">
        <v>36</v>
      </c>
      <c r="F205" s="23" t="s">
        <v>369</v>
      </c>
      <c r="G205" s="23" t="s">
        <v>124</v>
      </c>
      <c r="H205" s="25">
        <v>3</v>
      </c>
      <c r="I205" s="2"/>
      <c r="J205" s="26"/>
      <c r="K205" s="27">
        <f t="shared" si="11"/>
        <v>0</v>
      </c>
      <c r="L205" s="27"/>
      <c r="M205" s="27"/>
      <c r="N205" s="2"/>
      <c r="O205" s="27">
        <f t="shared" si="12"/>
        <v>0</v>
      </c>
      <c r="P205" s="27"/>
      <c r="Q205" s="27"/>
      <c r="R205" s="31">
        <f t="shared" si="10"/>
        <v>0</v>
      </c>
    </row>
    <row r="206" spans="1:18" ht="18.75" customHeight="1" thickBot="1">
      <c r="A206" s="47"/>
      <c r="B206" s="48" t="s">
        <v>325</v>
      </c>
      <c r="C206" s="49" t="s">
        <v>18</v>
      </c>
      <c r="D206" s="48"/>
      <c r="E206" s="48" t="s">
        <v>370</v>
      </c>
      <c r="F206" s="48" t="s">
        <v>371</v>
      </c>
      <c r="G206" s="48" t="s">
        <v>136</v>
      </c>
      <c r="H206" s="50">
        <v>3</v>
      </c>
      <c r="I206" s="33"/>
      <c r="J206" s="51"/>
      <c r="K206" s="27">
        <f t="shared" si="11"/>
        <v>0</v>
      </c>
      <c r="L206" s="52"/>
      <c r="M206" s="52"/>
      <c r="N206" s="33"/>
      <c r="O206" s="27">
        <f t="shared" si="12"/>
        <v>0</v>
      </c>
      <c r="P206" s="52"/>
      <c r="Q206" s="52"/>
      <c r="R206" s="31">
        <f t="shared" si="10"/>
        <v>0</v>
      </c>
    </row>
    <row r="207" spans="1:18" ht="16.5" customHeight="1">
      <c r="A207" s="87" t="s">
        <v>145</v>
      </c>
      <c r="B207" s="87"/>
      <c r="C207" s="88"/>
      <c r="D207" s="89"/>
      <c r="E207" s="89"/>
      <c r="F207" s="89"/>
      <c r="G207" s="89"/>
      <c r="H207" s="88">
        <f>SUM(H10:H206)</f>
        <v>2801</v>
      </c>
      <c r="I207" s="88">
        <f>SUM(I10:I206)</f>
        <v>1380</v>
      </c>
      <c r="J207" s="88">
        <f>SUM(J10:J206)</f>
        <v>1505</v>
      </c>
      <c r="K207" s="90">
        <f>SUM(K10:K206)</f>
        <v>1172357.3499999996</v>
      </c>
      <c r="L207" s="90">
        <f t="shared" ref="L207:M207" si="13">SUM(L10:L206)</f>
        <v>1172357.3499999996</v>
      </c>
      <c r="M207" s="88">
        <f t="shared" si="13"/>
        <v>0</v>
      </c>
      <c r="N207" s="88">
        <f>SUM(N10:N206)</f>
        <v>1099</v>
      </c>
      <c r="O207" s="90">
        <f>SUM(O10:O206)</f>
        <v>2933053.9799999986</v>
      </c>
      <c r="P207" s="90">
        <f>SUM(P10:P206)</f>
        <v>2933053.9799999986</v>
      </c>
      <c r="Q207" s="90">
        <f>SUM(Q10:Q206)</f>
        <v>0</v>
      </c>
      <c r="R207" s="31"/>
    </row>
    <row r="208" spans="1:18" ht="15" customHeight="1">
      <c r="A208" s="24"/>
      <c r="B208" s="23"/>
      <c r="C208" s="24"/>
      <c r="D208" s="23"/>
      <c r="E208" s="23"/>
      <c r="F208" s="23"/>
      <c r="G208" s="23"/>
      <c r="H208" s="98"/>
      <c r="I208" s="98"/>
      <c r="J208" s="98"/>
      <c r="K208" s="98"/>
      <c r="L208" s="98"/>
      <c r="M208" s="98"/>
      <c r="N208" s="98"/>
      <c r="O208" s="98"/>
      <c r="P208" s="24"/>
      <c r="Q208" s="24"/>
      <c r="R208" s="31"/>
    </row>
    <row r="209" spans="11:19">
      <c r="R209" s="31"/>
    </row>
    <row r="210" spans="11:19">
      <c r="K210" s="31"/>
      <c r="L210" s="31">
        <f>L10+L12+L14+L16+L18+L19+L20+L23+L27+L28+L30+L33+L35+L37+L39+L41+L43+L45+L47+L49+L51+L53+L54+L58+L59+L60+L61+L62+L64+L66+L67+L69+L71+L72+L74+L78+L80+L82+L84+L86+L88+L90+L93+L96+L97+L98+L100+L102+L103+L104+L107+L110+L113+L116+L119+L120+L122+L125+L126+L128+L130+L132+L134+L136+L138+L140+L142+L143+L145+L148+L151+L154+L158+L159+L160+L161+L163+L164+L165+L167+L170+L175+L176+L178+L179+L181+L183+L184+L186+L189+L191+L193+L196+L198+L199+L200+L204</f>
        <v>832050.29999999993</v>
      </c>
      <c r="M210" s="31"/>
      <c r="N210" s="31"/>
      <c r="O210" s="31">
        <f t="shared" ref="O210" si="14">O10+O12+O14+O16+O18+O19+O20+O23+O27+O28+O30+O33+O35+O37+O39+O41+O43+O45+O47+O49+O51+O53+O54+O58+O59+O60+O61+O62+O64+O66+O67+O69+O71+O72+O74+O78+O80+O82+O84+O86+O88+O90+O93+O96+O97+O98+O100+O102+O103+O104+O107+O110+O113+O116+O119+O120+O122+O125+O126+O128+O130+O132+O134+O136+O138+O140+O142+O143+O145+O148+O151+O154+O158+O159+O160+O161+O163+O164+O165+O167+O170+O175+O176+O178+O179+O181+O183+O184+O186+O189+O191+O193+O196+O198+O199+O200+O204</f>
        <v>2034801.61</v>
      </c>
    </row>
    <row r="211" spans="11:19">
      <c r="K211" s="31"/>
      <c r="L211" s="31"/>
      <c r="N211" s="31"/>
      <c r="O211" s="31"/>
    </row>
    <row r="212" spans="11:19">
      <c r="K212" s="31"/>
      <c r="L212" s="31"/>
      <c r="M212" s="31"/>
      <c r="N212" s="31"/>
      <c r="O212" s="31">
        <f>O210+L210</f>
        <v>2866851.91</v>
      </c>
      <c r="P212" s="31"/>
      <c r="Q212" s="31"/>
      <c r="S212" s="31"/>
    </row>
    <row r="213" spans="11:19">
      <c r="K213" s="31"/>
      <c r="L213" s="31"/>
      <c r="M213" s="31"/>
      <c r="N213" s="31"/>
      <c r="O213" s="31"/>
      <c r="P213" s="31"/>
      <c r="Q213" s="31"/>
    </row>
    <row r="214" spans="11:19">
      <c r="K214" s="31"/>
      <c r="L214" s="31"/>
      <c r="M214" s="31"/>
      <c r="N214" s="31"/>
      <c r="O214" s="31"/>
      <c r="P214" s="31"/>
      <c r="Q214" s="31"/>
    </row>
    <row r="215" spans="11:19">
      <c r="K215" s="31"/>
      <c r="L215" s="31"/>
      <c r="M215" s="31"/>
      <c r="N215" s="31"/>
      <c r="O215" s="31"/>
      <c r="P215" s="31"/>
      <c r="Q215" s="31"/>
    </row>
    <row r="216" spans="11:19">
      <c r="K216" s="31"/>
      <c r="L216" s="31"/>
      <c r="M216" s="31"/>
      <c r="N216" s="31"/>
      <c r="O216" s="31"/>
      <c r="P216" s="31"/>
      <c r="Q216" s="31"/>
      <c r="S216" s="31"/>
    </row>
    <row r="218" spans="11:19">
      <c r="K218" s="31"/>
      <c r="O218" s="31"/>
      <c r="P218" s="31"/>
    </row>
    <row r="221" spans="11:19">
      <c r="O221" s="31"/>
    </row>
    <row r="222" spans="11:19">
      <c r="L222" s="31"/>
    </row>
  </sheetData>
  <mergeCells count="8">
    <mergeCell ref="A207:B207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R223"/>
  <sheetViews>
    <sheetView topLeftCell="A10" zoomScale="66" zoomScaleNormal="66" workbookViewId="0">
      <selection activeCell="H10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91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26</v>
      </c>
      <c r="I11" s="1">
        <v>10</v>
      </c>
      <c r="J11" s="26">
        <v>10</v>
      </c>
      <c r="K11" s="27">
        <f t="shared" ref="K11:K75" si="1">L11+M11</f>
        <v>18067.2</v>
      </c>
      <c r="L11" s="27">
        <v>18067.2</v>
      </c>
      <c r="M11" s="27"/>
      <c r="N11" s="1">
        <v>16</v>
      </c>
      <c r="O11" s="27">
        <f t="shared" ref="O11:O75" si="2">P11+Q11</f>
        <v>67766.52</v>
      </c>
      <c r="P11" s="27">
        <v>67766.52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40</v>
      </c>
      <c r="I12" s="1">
        <v>11</v>
      </c>
      <c r="J12" s="26">
        <v>15</v>
      </c>
      <c r="K12" s="27">
        <f t="shared" si="1"/>
        <v>6583.05</v>
      </c>
      <c r="L12" s="27">
        <v>6583.05</v>
      </c>
      <c r="M12" s="27"/>
      <c r="N12" s="1">
        <v>12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22</v>
      </c>
      <c r="J14" s="26">
        <v>33</v>
      </c>
      <c r="K14" s="27">
        <f t="shared" si="1"/>
        <v>14230.66</v>
      </c>
      <c r="L14" s="27">
        <v>14230.66</v>
      </c>
      <c r="M14" s="27"/>
      <c r="N14" s="1">
        <v>20</v>
      </c>
      <c r="O14" s="27">
        <f t="shared" si="2"/>
        <v>34494.57</v>
      </c>
      <c r="P14" s="27">
        <f>30961.32+3533.25</f>
        <v>34494.57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49</v>
      </c>
      <c r="I16" s="1">
        <v>41</v>
      </c>
      <c r="J16" s="26">
        <v>50</v>
      </c>
      <c r="K16" s="27">
        <f t="shared" si="1"/>
        <v>35564.14</v>
      </c>
      <c r="L16" s="27">
        <v>35564.14</v>
      </c>
      <c r="M16" s="27"/>
      <c r="N16" s="1">
        <v>24</v>
      </c>
      <c r="O16" s="27">
        <f t="shared" si="2"/>
        <v>69037.62</v>
      </c>
      <c r="P16" s="27">
        <f>65062.86+3974.76</f>
        <v>69037.62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50</v>
      </c>
      <c r="I20" s="1">
        <v>35</v>
      </c>
      <c r="J20" s="26">
        <v>36</v>
      </c>
      <c r="K20" s="27">
        <f t="shared" si="1"/>
        <v>32460.240000000002</v>
      </c>
      <c r="L20" s="27">
        <v>32460.240000000002</v>
      </c>
      <c r="M20" s="27"/>
      <c r="N20" s="1">
        <v>26</v>
      </c>
      <c r="O20" s="27">
        <f t="shared" si="2"/>
        <v>74450.66</v>
      </c>
      <c r="P20" s="27">
        <f>70362.9+2269.02+422.88+1395.86</f>
        <v>74450.66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12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1</v>
      </c>
      <c r="O23" s="27">
        <f t="shared" si="2"/>
        <v>6214.5599999999995</v>
      </c>
      <c r="P23" s="27">
        <v>6214.5599999999995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2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24">
        <v>10</v>
      </c>
      <c r="B27" s="23" t="s">
        <v>484</v>
      </c>
      <c r="C27" s="24" t="s">
        <v>18</v>
      </c>
      <c r="D27" s="23"/>
      <c r="E27" s="23" t="s">
        <v>104</v>
      </c>
      <c r="F27" s="23" t="s">
        <v>487</v>
      </c>
      <c r="G27" s="23" t="s">
        <v>122</v>
      </c>
      <c r="H27" s="25">
        <v>12</v>
      </c>
      <c r="I27" s="1">
        <v>1</v>
      </c>
      <c r="J27" s="26">
        <v>1</v>
      </c>
      <c r="K27" s="27">
        <f t="shared" si="1"/>
        <v>0</v>
      </c>
      <c r="L27" s="27"/>
      <c r="M27" s="27"/>
      <c r="N27" s="1"/>
      <c r="O27" s="27">
        <f t="shared" si="2"/>
        <v>0</v>
      </c>
      <c r="P27" s="27"/>
      <c r="Q27" s="27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7</v>
      </c>
      <c r="J28" s="44">
        <v>7</v>
      </c>
      <c r="K28" s="27">
        <f t="shared" si="1"/>
        <v>4086.08</v>
      </c>
      <c r="L28" s="27">
        <v>4086.08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18</v>
      </c>
      <c r="I29" s="1">
        <v>8</v>
      </c>
      <c r="J29" s="44">
        <v>11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18079.97</v>
      </c>
      <c r="P29" s="27">
        <f>12527.2+5552.77</f>
        <v>18079.97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3259.7</v>
      </c>
      <c r="P30" s="27">
        <v>3259.7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27</v>
      </c>
      <c r="I31" s="1">
        <v>18</v>
      </c>
      <c r="J31" s="26">
        <v>20</v>
      </c>
      <c r="K31" s="27">
        <f t="shared" si="1"/>
        <v>14723.62</v>
      </c>
      <c r="L31" s="27">
        <v>14723.62</v>
      </c>
      <c r="M31" s="27"/>
      <c r="N31" s="1">
        <v>19</v>
      </c>
      <c r="O31" s="27">
        <f t="shared" si="2"/>
        <v>20737.96</v>
      </c>
      <c r="P31" s="27">
        <v>20737.96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0</v>
      </c>
      <c r="P32" s="27"/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11</v>
      </c>
      <c r="I33" s="2">
        <v>4</v>
      </c>
      <c r="J33" s="26">
        <v>4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22</v>
      </c>
      <c r="I34" s="1">
        <v>15</v>
      </c>
      <c r="J34" s="26">
        <v>22</v>
      </c>
      <c r="K34" s="27">
        <f t="shared" si="1"/>
        <v>9975.4599999999991</v>
      </c>
      <c r="L34" s="27">
        <f>6122.51+3852.95</f>
        <v>9975.4599999999991</v>
      </c>
      <c r="M34" s="27"/>
      <c r="N34" s="1">
        <v>15</v>
      </c>
      <c r="O34" s="27">
        <f t="shared" si="2"/>
        <v>51128.02</v>
      </c>
      <c r="P34" s="27">
        <v>51128.02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6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2995.4</v>
      </c>
      <c r="P35" s="27">
        <v>2995.4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5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13</v>
      </c>
      <c r="I37" s="1">
        <v>1</v>
      </c>
      <c r="J37" s="26">
        <v>1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18</v>
      </c>
      <c r="I38" s="1">
        <v>5</v>
      </c>
      <c r="J38" s="26">
        <v>5</v>
      </c>
      <c r="K38" s="27">
        <f t="shared" si="1"/>
        <v>0</v>
      </c>
      <c r="L38" s="27"/>
      <c r="M38" s="27"/>
      <c r="N38" s="1">
        <v>12</v>
      </c>
      <c r="O38" s="27">
        <f t="shared" si="2"/>
        <v>13827.210000000001</v>
      </c>
      <c r="P38" s="27">
        <f>11156.02+2671.19</f>
        <v>13827.210000000001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21</v>
      </c>
      <c r="I39" s="2">
        <v>2</v>
      </c>
      <c r="J39" s="26">
        <v>2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23</v>
      </c>
      <c r="I40" s="1">
        <v>13</v>
      </c>
      <c r="J40" s="26">
        <v>15</v>
      </c>
      <c r="K40" s="27">
        <f t="shared" si="1"/>
        <v>17627.599999999999</v>
      </c>
      <c r="L40" s="27">
        <v>17627.599999999999</v>
      </c>
      <c r="M40" s="27"/>
      <c r="N40" s="1">
        <v>12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19</v>
      </c>
      <c r="I41" s="2">
        <v>3</v>
      </c>
      <c r="J41" s="26">
        <v>3</v>
      </c>
      <c r="K41" s="27">
        <f t="shared" si="1"/>
        <v>5814.6</v>
      </c>
      <c r="L41" s="27">
        <v>5814.6</v>
      </c>
      <c r="M41" s="27"/>
      <c r="N41" s="2">
        <v>10</v>
      </c>
      <c r="O41" s="27">
        <f t="shared" si="2"/>
        <v>23225.599999999999</v>
      </c>
      <c r="P41" s="27">
        <v>23225.599999999999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14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6914.0999999999995</v>
      </c>
      <c r="P42" s="27">
        <f>4817.32+599.08+1497.7</f>
        <v>6914.0999999999995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17</v>
      </c>
      <c r="I43" s="1"/>
      <c r="J43" s="26"/>
      <c r="K43" s="27">
        <f t="shared" si="1"/>
        <v>0</v>
      </c>
      <c r="L43" s="27"/>
      <c r="M43" s="27"/>
      <c r="N43" s="1">
        <v>5</v>
      </c>
      <c r="O43" s="27">
        <f t="shared" si="2"/>
        <v>6497.99</v>
      </c>
      <c r="P43" s="27">
        <v>6497.99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28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10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10</v>
      </c>
      <c r="O48" s="27">
        <f t="shared" si="2"/>
        <v>25165.45</v>
      </c>
      <c r="P48" s="27">
        <f>22402.99+2762.46</f>
        <v>25165.45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12</v>
      </c>
      <c r="I49" s="1">
        <v>2</v>
      </c>
      <c r="J49" s="26">
        <v>2</v>
      </c>
      <c r="K49" s="27">
        <f t="shared" si="1"/>
        <v>0</v>
      </c>
      <c r="L49" s="27"/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20</v>
      </c>
      <c r="I50" s="1">
        <v>19</v>
      </c>
      <c r="J50" s="26">
        <v>20</v>
      </c>
      <c r="K50" s="27">
        <f t="shared" si="1"/>
        <v>11305.32</v>
      </c>
      <c r="L50" s="27">
        <f>8384.28+2921.04</f>
        <v>11305.32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2</v>
      </c>
      <c r="J51" s="26">
        <v>2</v>
      </c>
      <c r="K51" s="27">
        <f>L51+M51</f>
        <v>4050.2</v>
      </c>
      <c r="L51" s="27">
        <v>4050.2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19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9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31</v>
      </c>
      <c r="I55" s="1">
        <v>10</v>
      </c>
      <c r="J55" s="26">
        <v>10</v>
      </c>
      <c r="K55" s="27">
        <f t="shared" si="1"/>
        <v>3401.55</v>
      </c>
      <c r="L55" s="27">
        <v>3401.55</v>
      </c>
      <c r="M55" s="27"/>
      <c r="N55" s="1">
        <v>10</v>
      </c>
      <c r="O55" s="27">
        <f t="shared" si="2"/>
        <v>44392.14</v>
      </c>
      <c r="P55" s="27">
        <v>44392.14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1</v>
      </c>
      <c r="J56" s="26">
        <v>1</v>
      </c>
      <c r="K56" s="27">
        <f t="shared" si="1"/>
        <v>2819.2</v>
      </c>
      <c r="L56" s="27">
        <v>2819.2</v>
      </c>
      <c r="M56" s="27"/>
      <c r="N56" s="2">
        <v>2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32</v>
      </c>
      <c r="I58" s="2">
        <v>3</v>
      </c>
      <c r="J58" s="26">
        <v>3</v>
      </c>
      <c r="K58" s="27">
        <f>L58+M58</f>
        <v>14109.4</v>
      </c>
      <c r="L58" s="27">
        <v>14109.4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49</v>
      </c>
      <c r="I61" s="26">
        <v>26</v>
      </c>
      <c r="J61" s="26">
        <v>26</v>
      </c>
      <c r="K61" s="27">
        <f t="shared" si="1"/>
        <v>15476.810000000001</v>
      </c>
      <c r="L61" s="83">
        <f>12981.51+2495.3</f>
        <v>15476.810000000001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39</v>
      </c>
      <c r="I62" s="1">
        <v>24</v>
      </c>
      <c r="J62" s="26">
        <v>24</v>
      </c>
      <c r="K62" s="27">
        <f t="shared" si="1"/>
        <v>26838.02</v>
      </c>
      <c r="L62" s="27">
        <v>26838.02</v>
      </c>
      <c r="M62" s="27"/>
      <c r="N62" s="1">
        <v>16</v>
      </c>
      <c r="O62" s="27">
        <f t="shared" si="2"/>
        <v>28261.599999999999</v>
      </c>
      <c r="P62" s="27">
        <v>28261.599999999999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33</v>
      </c>
      <c r="I63" s="1">
        <v>22</v>
      </c>
      <c r="J63" s="26">
        <v>25</v>
      </c>
      <c r="K63" s="27">
        <f t="shared" si="1"/>
        <v>12863.92</v>
      </c>
      <c r="L63" s="27">
        <v>12863.92</v>
      </c>
      <c r="M63" s="27"/>
      <c r="N63" s="1">
        <v>12</v>
      </c>
      <c r="O63" s="27">
        <f t="shared" si="2"/>
        <v>37111.350000000006</v>
      </c>
      <c r="P63" s="27">
        <v>37111.350000000006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21</v>
      </c>
      <c r="I64" s="1">
        <v>5</v>
      </c>
      <c r="J64" s="26">
        <v>5</v>
      </c>
      <c r="K64" s="27">
        <f t="shared" si="1"/>
        <v>5685.8</v>
      </c>
      <c r="L64" s="27">
        <v>5685.8</v>
      </c>
      <c r="M64" s="27"/>
      <c r="N64" s="1">
        <v>13</v>
      </c>
      <c r="O64" s="27">
        <f t="shared" si="2"/>
        <v>29272.9</v>
      </c>
      <c r="P64" s="27">
        <v>29272.9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26863.22</v>
      </c>
      <c r="P65" s="27">
        <v>26863.22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21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15</v>
      </c>
      <c r="I68" s="1">
        <v>12</v>
      </c>
      <c r="J68" s="26">
        <v>12</v>
      </c>
      <c r="K68" s="27">
        <f t="shared" si="1"/>
        <v>0</v>
      </c>
      <c r="L68" s="27"/>
      <c r="M68" s="27"/>
      <c r="N68" s="1">
        <v>9</v>
      </c>
      <c r="O68" s="27">
        <f t="shared" si="2"/>
        <v>100020.28</v>
      </c>
      <c r="P68" s="27">
        <v>100020.28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4</v>
      </c>
      <c r="O69" s="27">
        <f t="shared" si="2"/>
        <v>8772.65</v>
      </c>
      <c r="P69" s="27">
        <v>8772.65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25</v>
      </c>
      <c r="I70" s="1">
        <v>9</v>
      </c>
      <c r="J70" s="26">
        <v>11</v>
      </c>
      <c r="K70" s="27">
        <f t="shared" si="1"/>
        <v>1399.0300000000002</v>
      </c>
      <c r="L70" s="27">
        <f>1046.63+352.4</f>
        <v>1399.0300000000002</v>
      </c>
      <c r="M70" s="27"/>
      <c r="N70" s="1">
        <v>10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12</v>
      </c>
      <c r="I71" s="2">
        <v>4</v>
      </c>
      <c r="J71" s="26">
        <v>4</v>
      </c>
      <c r="K71" s="27">
        <f t="shared" si="1"/>
        <v>3171.6</v>
      </c>
      <c r="L71" s="27">
        <v>3171.6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30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41</v>
      </c>
      <c r="I73" s="1">
        <v>22</v>
      </c>
      <c r="J73" s="26">
        <v>23</v>
      </c>
      <c r="K73" s="27">
        <f t="shared" si="1"/>
        <v>12414.92</v>
      </c>
      <c r="L73" s="27">
        <v>12414.92</v>
      </c>
      <c r="M73" s="27"/>
      <c r="N73" s="1">
        <v>21</v>
      </c>
      <c r="O73" s="27">
        <f t="shared" si="2"/>
        <v>112152.42000000001</v>
      </c>
      <c r="P73" s="27">
        <f>109028.82+3123.6</f>
        <v>112152.42000000001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42</v>
      </c>
      <c r="I75" s="1">
        <v>33</v>
      </c>
      <c r="J75" s="26">
        <v>34</v>
      </c>
      <c r="K75" s="27">
        <f t="shared" si="1"/>
        <v>24129.81</v>
      </c>
      <c r="L75" s="27">
        <v>24129.81</v>
      </c>
      <c r="M75" s="27"/>
      <c r="N75" s="1">
        <v>9</v>
      </c>
      <c r="O75" s="27">
        <f t="shared" si="2"/>
        <v>31150.39</v>
      </c>
      <c r="P75" s="27">
        <v>31150.39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3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12</v>
      </c>
      <c r="I77" s="1">
        <v>2</v>
      </c>
      <c r="J77" s="26">
        <v>2</v>
      </c>
      <c r="K77" s="27">
        <f t="shared" si="3"/>
        <v>6200.7</v>
      </c>
      <c r="L77" s="27">
        <v>6200.7</v>
      </c>
      <c r="M77" s="27"/>
      <c r="N77" s="1">
        <v>9</v>
      </c>
      <c r="O77" s="27">
        <f t="shared" si="4"/>
        <v>42935.74</v>
      </c>
      <c r="P77" s="27">
        <v>42935.74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4</v>
      </c>
      <c r="I78" s="1">
        <v>2</v>
      </c>
      <c r="J78" s="26">
        <v>2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21</v>
      </c>
      <c r="I79" s="1">
        <v>13</v>
      </c>
      <c r="J79" s="26">
        <v>13</v>
      </c>
      <c r="K79" s="27">
        <f t="shared" si="3"/>
        <v>9195</v>
      </c>
      <c r="L79" s="27">
        <f>4400.6+4794.4</f>
        <v>9195</v>
      </c>
      <c r="M79" s="27"/>
      <c r="N79" s="1">
        <v>17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27</v>
      </c>
      <c r="I80" s="2"/>
      <c r="J80" s="26"/>
      <c r="K80" s="27">
        <f t="shared" si="3"/>
        <v>6343.2</v>
      </c>
      <c r="L80" s="27">
        <v>6343.2</v>
      </c>
      <c r="M80" s="27"/>
      <c r="N80" s="2">
        <v>13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10043.4</v>
      </c>
      <c r="P81" s="27">
        <v>10043.4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13</v>
      </c>
      <c r="I82" s="1">
        <v>1</v>
      </c>
      <c r="J82" s="26">
        <v>1</v>
      </c>
      <c r="K82" s="27">
        <f t="shared" si="3"/>
        <v>0</v>
      </c>
      <c r="L82" s="27"/>
      <c r="M82" s="27"/>
      <c r="N82" s="1">
        <v>13</v>
      </c>
      <c r="O82" s="27">
        <f t="shared" si="4"/>
        <v>16465.599999999999</v>
      </c>
      <c r="P82" s="27">
        <v>16465.599999999999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22</v>
      </c>
      <c r="I83" s="1">
        <v>14</v>
      </c>
      <c r="J83" s="26">
        <v>14</v>
      </c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/>
      <c r="J84" s="26"/>
      <c r="K84" s="27">
        <f t="shared" si="3"/>
        <v>0</v>
      </c>
      <c r="L84" s="27"/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81</v>
      </c>
      <c r="I85" s="1">
        <v>42</v>
      </c>
      <c r="J85" s="26">
        <v>42</v>
      </c>
      <c r="K85" s="27">
        <f t="shared" si="3"/>
        <v>47012.42</v>
      </c>
      <c r="L85" s="27">
        <v>47012.42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24">
        <v>43</v>
      </c>
      <c r="B86" s="23" t="s">
        <v>486</v>
      </c>
      <c r="C86" s="24" t="s">
        <v>18</v>
      </c>
      <c r="D86" s="23"/>
      <c r="E86" s="23" t="s">
        <v>488</v>
      </c>
      <c r="F86" s="23" t="s">
        <v>268</v>
      </c>
      <c r="G86" s="23" t="s">
        <v>131</v>
      </c>
      <c r="H86" s="25">
        <v>7</v>
      </c>
      <c r="I86" s="1"/>
      <c r="J86" s="26"/>
      <c r="K86" s="27">
        <f t="shared" si="3"/>
        <v>0</v>
      </c>
      <c r="L86" s="27"/>
      <c r="M86" s="27"/>
      <c r="N86" s="1"/>
      <c r="O86" s="27">
        <f t="shared" si="4"/>
        <v>0</v>
      </c>
      <c r="P86" s="27"/>
      <c r="Q86" s="27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4</v>
      </c>
      <c r="J87" s="26">
        <v>6</v>
      </c>
      <c r="K87" s="27">
        <f t="shared" si="3"/>
        <v>8041.41</v>
      </c>
      <c r="L87" s="27">
        <v>8041.41</v>
      </c>
      <c r="M87" s="27"/>
      <c r="N87" s="1">
        <v>14</v>
      </c>
      <c r="O87" s="27">
        <f t="shared" si="4"/>
        <v>10572.76</v>
      </c>
      <c r="P87" s="27">
        <v>10572.76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40</v>
      </c>
      <c r="I89" s="1">
        <v>38</v>
      </c>
      <c r="J89" s="26">
        <v>39</v>
      </c>
      <c r="K89" s="27">
        <f t="shared" si="3"/>
        <v>34327.040000000001</v>
      </c>
      <c r="L89" s="27">
        <v>34327.040000000001</v>
      </c>
      <c r="M89" s="27"/>
      <c r="N89" s="1">
        <v>15</v>
      </c>
      <c r="O89" s="27">
        <f t="shared" si="4"/>
        <v>28719.49</v>
      </c>
      <c r="P89" s="27">
        <v>28719.49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7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5</v>
      </c>
      <c r="J95" s="26">
        <v>5</v>
      </c>
      <c r="K95" s="27">
        <f t="shared" si="3"/>
        <v>6238.1</v>
      </c>
      <c r="L95" s="27">
        <v>6238.1</v>
      </c>
      <c r="M95" s="27"/>
      <c r="N95" s="2">
        <v>20</v>
      </c>
      <c r="O95" s="27">
        <f t="shared" si="4"/>
        <v>26350.31</v>
      </c>
      <c r="P95" s="27">
        <v>26350.31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13</v>
      </c>
      <c r="I98" s="1">
        <v>10</v>
      </c>
      <c r="J98" s="26">
        <v>10</v>
      </c>
      <c r="K98" s="27">
        <f t="shared" si="3"/>
        <v>6764.75</v>
      </c>
      <c r="L98" s="27">
        <f>2262.4+4502.35</f>
        <v>6764.75</v>
      </c>
      <c r="M98" s="27"/>
      <c r="N98" s="1">
        <v>7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2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1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29</v>
      </c>
      <c r="I104" s="1">
        <v>19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10</v>
      </c>
      <c r="O104" s="27">
        <f t="shared" si="4"/>
        <v>34082.68</v>
      </c>
      <c r="P104" s="27">
        <v>34082.68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17</v>
      </c>
      <c r="I105" s="1">
        <v>10</v>
      </c>
      <c r="J105" s="26">
        <v>10</v>
      </c>
      <c r="K105" s="27">
        <f t="shared" si="3"/>
        <v>19305.63</v>
      </c>
      <c r="L105" s="27">
        <v>19305.63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13</v>
      </c>
      <c r="I106" s="1">
        <v>3</v>
      </c>
      <c r="J106" s="26">
        <v>3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31</v>
      </c>
      <c r="I107" s="1">
        <v>1</v>
      </c>
      <c r="J107" s="26">
        <v>1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20</v>
      </c>
      <c r="I108" s="1">
        <v>18</v>
      </c>
      <c r="J108" s="26">
        <v>22</v>
      </c>
      <c r="K108" s="27">
        <f t="shared" si="3"/>
        <v>10653.08</v>
      </c>
      <c r="L108" s="27">
        <v>10653.08</v>
      </c>
      <c r="M108" s="27"/>
      <c r="N108" s="1">
        <v>22</v>
      </c>
      <c r="O108" s="27">
        <f t="shared" si="4"/>
        <v>99634.14</v>
      </c>
      <c r="P108" s="27">
        <f>98217.49+1416.65</f>
        <v>99634.14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30</v>
      </c>
      <c r="I109" s="1">
        <v>6</v>
      </c>
      <c r="J109" s="26">
        <v>6</v>
      </c>
      <c r="K109" s="27">
        <f t="shared" si="3"/>
        <v>0</v>
      </c>
      <c r="L109" s="27"/>
      <c r="M109" s="27"/>
      <c r="N109" s="1">
        <v>20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32</v>
      </c>
      <c r="I110" s="2">
        <v>12</v>
      </c>
      <c r="J110" s="26">
        <v>12</v>
      </c>
      <c r="K110" s="27">
        <f t="shared" si="3"/>
        <v>8864.92</v>
      </c>
      <c r="L110" s="27">
        <v>8864.92</v>
      </c>
      <c r="M110" s="27"/>
      <c r="N110" s="2">
        <v>29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9</v>
      </c>
      <c r="I112" s="2">
        <v>1</v>
      </c>
      <c r="J112" s="26">
        <v>1</v>
      </c>
      <c r="K112" s="27">
        <f t="shared" si="3"/>
        <v>0</v>
      </c>
      <c r="L112" s="27"/>
      <c r="M112" s="27"/>
      <c r="N112" s="2">
        <v>5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13</v>
      </c>
      <c r="I113" s="2">
        <v>3</v>
      </c>
      <c r="J113" s="26">
        <v>3</v>
      </c>
      <c r="K113" s="27">
        <f t="shared" si="3"/>
        <v>3579.3</v>
      </c>
      <c r="L113" s="27">
        <v>3579.3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33</v>
      </c>
      <c r="I114" s="2">
        <v>21</v>
      </c>
      <c r="J114" s="26">
        <v>22</v>
      </c>
      <c r="K114" s="27">
        <f t="shared" si="3"/>
        <v>8880.7200000000012</v>
      </c>
      <c r="L114" s="27">
        <f>4342.45+4538.27</f>
        <v>8880.7200000000012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20</v>
      </c>
      <c r="I115" s="2">
        <v>4</v>
      </c>
      <c r="J115" s="26">
        <v>4</v>
      </c>
      <c r="K115" s="27">
        <f t="shared" si="3"/>
        <v>0</v>
      </c>
      <c r="L115" s="27"/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13</v>
      </c>
      <c r="I116" s="2">
        <v>3</v>
      </c>
      <c r="J116" s="26">
        <v>3</v>
      </c>
      <c r="K116" s="27">
        <f t="shared" si="3"/>
        <v>3106</v>
      </c>
      <c r="L116" s="27">
        <v>3106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32</v>
      </c>
      <c r="I117" s="1">
        <v>26</v>
      </c>
      <c r="J117" s="26">
        <v>28</v>
      </c>
      <c r="K117" s="27">
        <f t="shared" si="3"/>
        <v>26169.39</v>
      </c>
      <c r="L117" s="27">
        <v>26169.39</v>
      </c>
      <c r="M117" s="27"/>
      <c r="N117" s="1">
        <v>12</v>
      </c>
      <c r="O117" s="27">
        <f t="shared" si="4"/>
        <v>40874.75</v>
      </c>
      <c r="P117" s="27">
        <v>40874.75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29</v>
      </c>
      <c r="I121" s="1">
        <v>22</v>
      </c>
      <c r="J121" s="26">
        <v>28</v>
      </c>
      <c r="K121" s="27">
        <f t="shared" si="3"/>
        <v>23252.01</v>
      </c>
      <c r="L121" s="27">
        <v>23252.01</v>
      </c>
      <c r="M121" s="27"/>
      <c r="N121" s="1">
        <v>13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27</v>
      </c>
      <c r="I123" s="1">
        <v>6</v>
      </c>
      <c r="J123" s="26">
        <v>8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30</v>
      </c>
      <c r="I125" s="1">
        <v>6</v>
      </c>
      <c r="J125" s="26">
        <v>6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11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15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29</v>
      </c>
      <c r="I129" s="1">
        <v>21</v>
      </c>
      <c r="J129" s="26">
        <v>21</v>
      </c>
      <c r="K129" s="27">
        <f t="shared" si="3"/>
        <v>14700.02</v>
      </c>
      <c r="L129" s="27">
        <v>14700.02</v>
      </c>
      <c r="M129" s="27"/>
      <c r="N129" s="1">
        <v>10</v>
      </c>
      <c r="O129" s="27">
        <f t="shared" si="4"/>
        <v>48930.57</v>
      </c>
      <c r="P129" s="27">
        <f>46040.89+2290.6+599.08</f>
        <v>48930.57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57</v>
      </c>
      <c r="I131" s="1">
        <v>48</v>
      </c>
      <c r="J131" s="26">
        <v>49</v>
      </c>
      <c r="K131" s="27">
        <f t="shared" si="3"/>
        <v>39337.339999999997</v>
      </c>
      <c r="L131" s="27">
        <v>39337.339999999997</v>
      </c>
      <c r="M131" s="27"/>
      <c r="N131" s="1">
        <v>14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13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25</v>
      </c>
      <c r="I133" s="1">
        <v>20</v>
      </c>
      <c r="J133" s="26">
        <v>23</v>
      </c>
      <c r="K133" s="27">
        <f t="shared" si="3"/>
        <v>20234.59</v>
      </c>
      <c r="L133" s="27">
        <f>15295.92+4938.67</f>
        <v>20234.59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23" t="s">
        <v>468</v>
      </c>
      <c r="G134" s="23" t="s">
        <v>122</v>
      </c>
      <c r="H134" s="25">
        <v>1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27</v>
      </c>
      <c r="I135" s="1">
        <v>25</v>
      </c>
      <c r="J135" s="26">
        <v>31</v>
      </c>
      <c r="K135" s="27">
        <f t="shared" si="3"/>
        <v>7290.74</v>
      </c>
      <c r="L135" s="27">
        <v>7290.74</v>
      </c>
      <c r="M135" s="27"/>
      <c r="N135" s="1">
        <v>24</v>
      </c>
      <c r="O135" s="27">
        <f t="shared" si="4"/>
        <v>35519.81</v>
      </c>
      <c r="P135" s="27">
        <v>35519.81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45</v>
      </c>
      <c r="I136" s="1">
        <v>15</v>
      </c>
      <c r="J136" s="26">
        <v>15</v>
      </c>
      <c r="K136" s="27">
        <f t="shared" si="3"/>
        <v>2466.8000000000002</v>
      </c>
      <c r="L136" s="27">
        <v>2466.8000000000002</v>
      </c>
      <c r="M136" s="27"/>
      <c r="N136" s="1">
        <v>19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29</v>
      </c>
      <c r="I137" s="1">
        <v>20</v>
      </c>
      <c r="J137" s="26">
        <v>22</v>
      </c>
      <c r="K137" s="27">
        <f t="shared" si="3"/>
        <v>14801.52</v>
      </c>
      <c r="L137" s="27">
        <v>14801.52</v>
      </c>
      <c r="M137" s="27"/>
      <c r="N137" s="1">
        <v>16</v>
      </c>
      <c r="O137" s="27">
        <f t="shared" si="4"/>
        <v>44051.35</v>
      </c>
      <c r="P137" s="27">
        <v>44051.35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8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4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32</v>
      </c>
      <c r="I140" s="1">
        <v>8</v>
      </c>
      <c r="J140" s="44">
        <v>8</v>
      </c>
      <c r="K140" s="27">
        <f t="shared" ref="K140:K203" si="5">L140+M140</f>
        <v>9959.6</v>
      </c>
      <c r="L140" s="27">
        <v>9959.6</v>
      </c>
      <c r="M140" s="27"/>
      <c r="N140" s="1">
        <v>5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24</v>
      </c>
      <c r="I141" s="1">
        <v>14</v>
      </c>
      <c r="J141" s="26">
        <v>14</v>
      </c>
      <c r="K141" s="27">
        <f t="shared" si="5"/>
        <v>8817.93</v>
      </c>
      <c r="L141" s="27">
        <v>8817.93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17</v>
      </c>
      <c r="I142" s="1">
        <v>1</v>
      </c>
      <c r="J142" s="26">
        <v>1</v>
      </c>
      <c r="K142" s="27">
        <f t="shared" si="5"/>
        <v>0</v>
      </c>
      <c r="L142" s="27"/>
      <c r="M142" s="27"/>
      <c r="N142" s="1">
        <v>9</v>
      </c>
      <c r="O142" s="27">
        <f t="shared" si="6"/>
        <v>22519.69</v>
      </c>
      <c r="P142" s="59">
        <v>22519.69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13</v>
      </c>
      <c r="J143" s="26">
        <v>13</v>
      </c>
      <c r="K143" s="27">
        <f t="shared" si="5"/>
        <v>5319.65</v>
      </c>
      <c r="L143" s="27">
        <f>2471.02+2848.63</f>
        <v>5319.65</v>
      </c>
      <c r="M143" s="27"/>
      <c r="N143" s="1">
        <v>5</v>
      </c>
      <c r="O143" s="27">
        <f t="shared" si="6"/>
        <v>10093.58</v>
      </c>
      <c r="P143" s="27">
        <v>10093.58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25</v>
      </c>
      <c r="I144" s="1">
        <v>20</v>
      </c>
      <c r="J144" s="26">
        <v>33</v>
      </c>
      <c r="K144" s="27">
        <f t="shared" si="5"/>
        <v>872.19</v>
      </c>
      <c r="L144" s="27">
        <v>872.19</v>
      </c>
      <c r="M144" s="27"/>
      <c r="N144" s="1">
        <v>23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12</v>
      </c>
      <c r="I148" s="1">
        <v>3</v>
      </c>
      <c r="J148" s="26">
        <v>3</v>
      </c>
      <c r="K148" s="27">
        <f t="shared" si="5"/>
        <v>0</v>
      </c>
      <c r="L148" s="27"/>
      <c r="M148" s="27"/>
      <c r="N148" s="1">
        <v>3</v>
      </c>
      <c r="O148" s="27">
        <f t="shared" si="6"/>
        <v>6255.1</v>
      </c>
      <c r="P148" s="27">
        <v>6255.1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17</v>
      </c>
      <c r="I149" s="1">
        <v>11</v>
      </c>
      <c r="J149" s="26">
        <v>12</v>
      </c>
      <c r="K149" s="27">
        <f t="shared" si="5"/>
        <v>6670.26</v>
      </c>
      <c r="L149" s="27">
        <f>2702.63+3967.63</f>
        <v>6670.26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26</v>
      </c>
      <c r="I151" s="1">
        <v>5</v>
      </c>
      <c r="J151" s="26">
        <v>5</v>
      </c>
      <c r="K151" s="27">
        <f t="shared" si="5"/>
        <v>12186.16</v>
      </c>
      <c r="L151" s="27">
        <v>12186.16</v>
      </c>
      <c r="M151" s="27"/>
      <c r="N151" s="1">
        <v>6</v>
      </c>
      <c r="O151" s="27">
        <f t="shared" si="6"/>
        <v>13416.69</v>
      </c>
      <c r="P151" s="27">
        <v>13416.69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41</v>
      </c>
      <c r="I152" s="1">
        <v>23</v>
      </c>
      <c r="J152" s="26">
        <v>34</v>
      </c>
      <c r="K152" s="27">
        <f t="shared" si="5"/>
        <v>39751.32</v>
      </c>
      <c r="L152" s="27">
        <v>39751.32</v>
      </c>
      <c r="M152" s="27"/>
      <c r="N152" s="1">
        <v>9</v>
      </c>
      <c r="O152" s="27">
        <f t="shared" si="6"/>
        <v>13489.94</v>
      </c>
      <c r="P152" s="27">
        <v>13489.94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15</v>
      </c>
      <c r="I153" s="1">
        <v>2</v>
      </c>
      <c r="J153" s="26">
        <v>2</v>
      </c>
      <c r="K153" s="27">
        <f t="shared" si="5"/>
        <v>6519.4</v>
      </c>
      <c r="L153" s="27">
        <v>6519.4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9</v>
      </c>
      <c r="I155" s="1">
        <v>2</v>
      </c>
      <c r="J155" s="26">
        <v>2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20</v>
      </c>
      <c r="I157" s="1">
        <v>6</v>
      </c>
      <c r="J157" s="26">
        <v>6</v>
      </c>
      <c r="K157" s="27">
        <f t="shared" si="5"/>
        <v>5286</v>
      </c>
      <c r="L157" s="27">
        <v>5286</v>
      </c>
      <c r="M157" s="27"/>
      <c r="N157" s="1">
        <v>6</v>
      </c>
      <c r="O157" s="27">
        <f t="shared" si="6"/>
        <v>12686.4</v>
      </c>
      <c r="P157" s="27">
        <v>12686.4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12</v>
      </c>
      <c r="I158" s="1">
        <v>2</v>
      </c>
      <c r="J158" s="26">
        <v>2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27</v>
      </c>
      <c r="I160" s="1">
        <v>17</v>
      </c>
      <c r="J160" s="26">
        <v>18</v>
      </c>
      <c r="K160" s="27">
        <f t="shared" si="5"/>
        <v>14455.97</v>
      </c>
      <c r="L160" s="27">
        <v>14455.97</v>
      </c>
      <c r="M160" s="27"/>
      <c r="N160" s="1">
        <v>9</v>
      </c>
      <c r="O160" s="27">
        <f t="shared" si="6"/>
        <v>35129.230000000003</v>
      </c>
      <c r="P160" s="27">
        <v>35129.230000000003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12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24">
        <v>86</v>
      </c>
      <c r="B168" s="23" t="s">
        <v>302</v>
      </c>
      <c r="C168" s="24" t="s">
        <v>18</v>
      </c>
      <c r="D168" s="23"/>
      <c r="E168" s="23" t="s">
        <v>104</v>
      </c>
      <c r="F168" s="23" t="s">
        <v>461</v>
      </c>
      <c r="G168" s="23" t="s">
        <v>142</v>
      </c>
      <c r="H168" s="25">
        <v>19</v>
      </c>
      <c r="I168" s="1">
        <v>12</v>
      </c>
      <c r="J168" s="26">
        <v>12</v>
      </c>
      <c r="K168" s="27">
        <f t="shared" si="5"/>
        <v>0</v>
      </c>
      <c r="L168" s="27"/>
      <c r="M168" s="27"/>
      <c r="N168" s="1"/>
      <c r="O168" s="27">
        <f t="shared" si="6"/>
        <v>0</v>
      </c>
      <c r="P168" s="27"/>
      <c r="Q168" s="27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21</v>
      </c>
      <c r="I169" s="1">
        <v>4</v>
      </c>
      <c r="J169" s="26">
        <v>4</v>
      </c>
      <c r="K169" s="27">
        <f t="shared" si="5"/>
        <v>7752.8</v>
      </c>
      <c r="L169" s="27">
        <v>7752.8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16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5</v>
      </c>
      <c r="I171" s="1">
        <v>1</v>
      </c>
      <c r="J171" s="26">
        <v>1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474</v>
      </c>
      <c r="G172" s="23" t="s">
        <v>131</v>
      </c>
      <c r="H172" s="25">
        <v>2</v>
      </c>
      <c r="I172" s="1"/>
      <c r="J172" s="26"/>
      <c r="K172" s="27">
        <f t="shared" si="5"/>
        <v>0</v>
      </c>
      <c r="L172" s="27"/>
      <c r="M172" s="27"/>
      <c r="N172" s="1"/>
      <c r="O172" s="27">
        <f t="shared" si="6"/>
        <v>0</v>
      </c>
      <c r="P172" s="27"/>
      <c r="Q172" s="27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1</v>
      </c>
      <c r="J173" s="26">
        <v>1</v>
      </c>
      <c r="K173" s="27">
        <f t="shared" si="5"/>
        <v>1938.2</v>
      </c>
      <c r="L173" s="27">
        <v>1938.2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12</v>
      </c>
      <c r="I174" s="1">
        <v>10</v>
      </c>
      <c r="J174" s="26">
        <v>10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11</v>
      </c>
      <c r="I175" s="1">
        <v>3</v>
      </c>
      <c r="J175" s="26">
        <v>3</v>
      </c>
      <c r="K175" s="27">
        <f t="shared" si="5"/>
        <v>7979.15</v>
      </c>
      <c r="L175" s="27">
        <v>7979.15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/>
      <c r="J176" s="26"/>
      <c r="K176" s="27">
        <f t="shared" si="5"/>
        <v>0</v>
      </c>
      <c r="L176" s="27"/>
      <c r="M176" s="27"/>
      <c r="N176" s="1"/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12</v>
      </c>
      <c r="I177" s="1">
        <v>10</v>
      </c>
      <c r="J177" s="26">
        <v>15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14</v>
      </c>
      <c r="I181" s="2">
        <v>7</v>
      </c>
      <c r="J181" s="26">
        <v>7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50</v>
      </c>
      <c r="I182" s="1">
        <v>46</v>
      </c>
      <c r="J182" s="26">
        <v>46</v>
      </c>
      <c r="K182" s="27">
        <f t="shared" si="5"/>
        <v>18249.71</v>
      </c>
      <c r="L182" s="27">
        <v>18249.71</v>
      </c>
      <c r="M182" s="27"/>
      <c r="N182" s="1">
        <v>8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21</v>
      </c>
      <c r="I183" s="1">
        <v>6</v>
      </c>
      <c r="J183" s="26">
        <v>6</v>
      </c>
      <c r="K183" s="27">
        <f t="shared" si="5"/>
        <v>4786.6000000000004</v>
      </c>
      <c r="L183" s="27">
        <v>4786.6000000000004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40</v>
      </c>
      <c r="I184" s="1">
        <v>24</v>
      </c>
      <c r="J184" s="26">
        <v>24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63</v>
      </c>
      <c r="I185" s="1">
        <v>56</v>
      </c>
      <c r="J185" s="26">
        <v>56</v>
      </c>
      <c r="K185" s="27">
        <f t="shared" si="5"/>
        <v>11917.66</v>
      </c>
      <c r="L185" s="27">
        <v>11917.66</v>
      </c>
      <c r="M185" s="27"/>
      <c r="N185" s="1">
        <v>18</v>
      </c>
      <c r="O185" s="27">
        <f t="shared" si="6"/>
        <v>98283.26</v>
      </c>
      <c r="P185" s="27">
        <v>98283.26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36</v>
      </c>
      <c r="I186" s="1">
        <v>9</v>
      </c>
      <c r="J186" s="44">
        <v>9</v>
      </c>
      <c r="K186" s="27">
        <f t="shared" si="5"/>
        <v>20645.599999999999</v>
      </c>
      <c r="L186" s="27">
        <v>20645.599999999999</v>
      </c>
      <c r="M186" s="27"/>
      <c r="N186" s="1">
        <v>17</v>
      </c>
      <c r="O186" s="27">
        <f t="shared" si="6"/>
        <v>30487.919999999998</v>
      </c>
      <c r="P186" s="27">
        <v>30487.919999999998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9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/>
      <c r="J188" s="26"/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24">
        <v>98</v>
      </c>
      <c r="B189" s="23" t="s">
        <v>482</v>
      </c>
      <c r="C189" s="24" t="s">
        <v>18</v>
      </c>
      <c r="D189" s="23"/>
      <c r="E189" s="23" t="s">
        <v>104</v>
      </c>
      <c r="F189" s="23" t="s">
        <v>483</v>
      </c>
      <c r="G189" s="23" t="s">
        <v>122</v>
      </c>
      <c r="H189" s="25">
        <v>12</v>
      </c>
      <c r="I189" s="2">
        <v>2</v>
      </c>
      <c r="J189" s="26">
        <v>2</v>
      </c>
      <c r="K189" s="27">
        <f t="shared" si="5"/>
        <v>552.29999999999995</v>
      </c>
      <c r="L189" s="27">
        <v>552.29999999999995</v>
      </c>
      <c r="M189" s="27"/>
      <c r="N189" s="2"/>
      <c r="O189" s="27">
        <f t="shared" si="6"/>
        <v>0</v>
      </c>
      <c r="P189" s="27"/>
      <c r="Q189" s="27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3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36</v>
      </c>
      <c r="I191" s="1">
        <v>6</v>
      </c>
      <c r="J191" s="26">
        <v>6</v>
      </c>
      <c r="K191" s="27">
        <f t="shared" si="5"/>
        <v>21623.34</v>
      </c>
      <c r="L191" s="27">
        <v>21623.34</v>
      </c>
      <c r="M191" s="27"/>
      <c r="N191" s="1">
        <v>19</v>
      </c>
      <c r="O191" s="27">
        <f t="shared" si="6"/>
        <v>87493.26</v>
      </c>
      <c r="P191" s="27">
        <v>87493.26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10</v>
      </c>
      <c r="I192" s="1">
        <v>5</v>
      </c>
      <c r="J192" s="26">
        <v>6</v>
      </c>
      <c r="K192" s="27">
        <f t="shared" si="5"/>
        <v>3161.03</v>
      </c>
      <c r="L192" s="27">
        <v>3161.03</v>
      </c>
      <c r="M192" s="27"/>
      <c r="N192" s="1">
        <v>4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12</v>
      </c>
      <c r="I193" s="2">
        <v>3</v>
      </c>
      <c r="J193" s="26">
        <v>3</v>
      </c>
      <c r="K193" s="27">
        <f t="shared" si="5"/>
        <v>12686.4</v>
      </c>
      <c r="L193" s="27">
        <v>12686.4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31</v>
      </c>
      <c r="I194" s="2">
        <v>27</v>
      </c>
      <c r="J194" s="26">
        <v>28</v>
      </c>
      <c r="K194" s="27">
        <f t="shared" si="5"/>
        <v>23580.67</v>
      </c>
      <c r="L194" s="27">
        <v>23580.67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47</v>
      </c>
      <c r="I199" s="1">
        <v>31</v>
      </c>
      <c r="J199" s="44">
        <v>32</v>
      </c>
      <c r="K199" s="27">
        <f t="shared" si="5"/>
        <v>39374.14</v>
      </c>
      <c r="L199" s="27">
        <v>39374.14</v>
      </c>
      <c r="M199" s="27"/>
      <c r="N199" s="1">
        <v>5</v>
      </c>
      <c r="O199" s="27">
        <f t="shared" si="6"/>
        <v>26089.42</v>
      </c>
      <c r="P199" s="27">
        <f>23453.46+1317.98+1317.98</f>
        <v>26089.42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26</v>
      </c>
      <c r="I201" s="1">
        <v>14</v>
      </c>
      <c r="J201" s="44">
        <v>15</v>
      </c>
      <c r="K201" s="27">
        <f t="shared" si="5"/>
        <v>10009.780000000001</v>
      </c>
      <c r="L201" s="27">
        <v>10009.780000000001</v>
      </c>
      <c r="M201" s="27"/>
      <c r="N201" s="1">
        <v>25</v>
      </c>
      <c r="O201" s="27">
        <f t="shared" si="6"/>
        <v>36017.589999999997</v>
      </c>
      <c r="P201" s="27">
        <f>33365.57+2652.02</f>
        <v>36017.589999999997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/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46">
        <v>106</v>
      </c>
      <c r="B204" s="60" t="s">
        <v>489</v>
      </c>
      <c r="C204" s="46" t="s">
        <v>18</v>
      </c>
      <c r="D204" s="60"/>
      <c r="E204" s="60" t="s">
        <v>50</v>
      </c>
      <c r="F204" s="60" t="s">
        <v>490</v>
      </c>
      <c r="G204" s="60" t="s">
        <v>124</v>
      </c>
      <c r="H204" s="61">
        <v>1</v>
      </c>
      <c r="I204" s="32"/>
      <c r="J204" s="62"/>
      <c r="K204" s="27"/>
      <c r="L204" s="63"/>
      <c r="M204" s="63"/>
      <c r="N204" s="32"/>
      <c r="O204" s="27"/>
      <c r="P204" s="63"/>
      <c r="Q204" s="63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6</v>
      </c>
      <c r="J205" s="86">
        <v>6</v>
      </c>
      <c r="K205" s="27">
        <f t="shared" ref="K205:K207" si="7">L205+M205</f>
        <v>0</v>
      </c>
      <c r="L205" s="63"/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3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/>
      <c r="J207" s="51"/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2914</v>
      </c>
      <c r="I208" s="88">
        <f>SUM(I10:I207)</f>
        <v>1380</v>
      </c>
      <c r="J208" s="88">
        <f>SUM(J10:J207)</f>
        <v>1505</v>
      </c>
      <c r="K208" s="90">
        <f>SUM(K10:K207)</f>
        <v>1172357.3499999996</v>
      </c>
      <c r="L208" s="90">
        <f t="shared" ref="L208:M208" si="9">SUM(L10:L207)</f>
        <v>1172357.3499999996</v>
      </c>
      <c r="M208" s="88">
        <f t="shared" si="9"/>
        <v>0</v>
      </c>
      <c r="N208" s="88">
        <f>SUM(N10:N207)</f>
        <v>1099</v>
      </c>
      <c r="O208" s="90">
        <f>SUM(O10:O207)</f>
        <v>2936842.2799999989</v>
      </c>
      <c r="P208" s="90">
        <f>SUM(P10:P207)</f>
        <v>2936842.2799999989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R223"/>
  <sheetViews>
    <sheetView topLeftCell="A189" zoomScale="70" zoomScaleNormal="70" workbookViewId="0">
      <selection activeCell="H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26</v>
      </c>
      <c r="I11" s="1">
        <v>10</v>
      </c>
      <c r="J11" s="26">
        <v>10</v>
      </c>
      <c r="K11" s="27">
        <f t="shared" ref="K11:K75" si="1">L11+M11</f>
        <v>18067.2</v>
      </c>
      <c r="L11" s="27">
        <v>18067.2</v>
      </c>
      <c r="M11" s="27"/>
      <c r="N11" s="1">
        <v>17</v>
      </c>
      <c r="O11" s="27">
        <f t="shared" ref="O11:O75" si="2">P11+Q11</f>
        <v>67766.52</v>
      </c>
      <c r="P11" s="27">
        <v>67766.52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44</v>
      </c>
      <c r="I12" s="1">
        <v>18</v>
      </c>
      <c r="J12" s="26">
        <v>25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50</v>
      </c>
      <c r="I16" s="1">
        <v>45</v>
      </c>
      <c r="J16" s="26">
        <v>55</v>
      </c>
      <c r="K16" s="27">
        <f t="shared" si="1"/>
        <v>35564.14</v>
      </c>
      <c r="L16" s="27">
        <v>35564.14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53</v>
      </c>
      <c r="I20" s="1">
        <v>35</v>
      </c>
      <c r="J20" s="26">
        <v>36</v>
      </c>
      <c r="K20" s="27">
        <f t="shared" si="1"/>
        <v>32460.240000000002</v>
      </c>
      <c r="L20" s="27">
        <v>32460.240000000002</v>
      </c>
      <c r="M20" s="27"/>
      <c r="N20" s="1">
        <v>26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2</v>
      </c>
      <c r="J22" s="26">
        <v>2</v>
      </c>
      <c r="K22" s="27">
        <f t="shared" si="1"/>
        <v>4050.2</v>
      </c>
      <c r="L22" s="27">
        <v>4050.2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6214.5599999999995</v>
      </c>
      <c r="P23" s="27">
        <v>6214.5599999999995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13</v>
      </c>
      <c r="I27" s="40">
        <v>2</v>
      </c>
      <c r="J27" s="43">
        <v>2</v>
      </c>
      <c r="K27" s="27">
        <f t="shared" si="1"/>
        <v>0</v>
      </c>
      <c r="L27" s="39"/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18</v>
      </c>
      <c r="I29" s="1">
        <v>8</v>
      </c>
      <c r="J29" s="44">
        <v>11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18079.97</v>
      </c>
      <c r="P29" s="27">
        <f>12527.2+5552.77</f>
        <v>18079.97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3259.7</v>
      </c>
      <c r="P30" s="27">
        <v>3259.7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27</v>
      </c>
      <c r="I31" s="1">
        <v>18</v>
      </c>
      <c r="J31" s="26">
        <v>20</v>
      </c>
      <c r="K31" s="27">
        <f t="shared" si="1"/>
        <v>16408.98</v>
      </c>
      <c r="L31" s="27">
        <f>14723.62+1685.36</f>
        <v>16408.98</v>
      </c>
      <c r="M31" s="27"/>
      <c r="N31" s="1">
        <v>22</v>
      </c>
      <c r="O31" s="27">
        <f t="shared" si="2"/>
        <v>37856.82</v>
      </c>
      <c r="P31" s="27">
        <f>20737.96+17118.86</f>
        <v>37856.82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11</v>
      </c>
      <c r="I33" s="2">
        <v>4</v>
      </c>
      <c r="J33" s="26">
        <v>4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22</v>
      </c>
      <c r="I34" s="1">
        <v>16</v>
      </c>
      <c r="J34" s="26">
        <v>26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51128.02</v>
      </c>
      <c r="P34" s="27">
        <v>51128.02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6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5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13</v>
      </c>
      <c r="I37" s="1">
        <v>1</v>
      </c>
      <c r="J37" s="26">
        <v>1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18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13827.210000000001</v>
      </c>
      <c r="P38" s="27">
        <f>11156.02+2671.19</f>
        <v>13827.210000000001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21</v>
      </c>
      <c r="I39" s="2">
        <v>3</v>
      </c>
      <c r="J39" s="26">
        <v>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25</v>
      </c>
      <c r="I40" s="1">
        <v>18</v>
      </c>
      <c r="J40" s="26">
        <v>20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19</v>
      </c>
      <c r="I41" s="2">
        <v>5</v>
      </c>
      <c r="J41" s="26">
        <v>5</v>
      </c>
      <c r="K41" s="27">
        <f t="shared" si="1"/>
        <v>5814.6</v>
      </c>
      <c r="L41" s="27">
        <v>5814.6</v>
      </c>
      <c r="M41" s="27"/>
      <c r="N41" s="2">
        <v>11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14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19</v>
      </c>
      <c r="I43" s="1">
        <v>1</v>
      </c>
      <c r="J43" s="26">
        <v>1</v>
      </c>
      <c r="K43" s="27">
        <f t="shared" si="1"/>
        <v>0</v>
      </c>
      <c r="L43" s="27"/>
      <c r="M43" s="27"/>
      <c r="N43" s="1">
        <v>6</v>
      </c>
      <c r="O43" s="27">
        <f t="shared" si="2"/>
        <v>6497.99</v>
      </c>
      <c r="P43" s="27">
        <v>6497.99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29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11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12</v>
      </c>
      <c r="I49" s="1">
        <v>2</v>
      </c>
      <c r="J49" s="26">
        <v>2</v>
      </c>
      <c r="K49" s="27">
        <f t="shared" si="1"/>
        <v>0</v>
      </c>
      <c r="L49" s="27"/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21</v>
      </c>
      <c r="I50" s="1">
        <v>19</v>
      </c>
      <c r="J50" s="26">
        <v>20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4050.2</v>
      </c>
      <c r="L51" s="27">
        <v>4050.2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19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9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31</v>
      </c>
      <c r="I55" s="1">
        <v>17</v>
      </c>
      <c r="J55" s="26">
        <v>17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1</v>
      </c>
      <c r="J56" s="26">
        <v>1</v>
      </c>
      <c r="K56" s="27">
        <f t="shared" si="1"/>
        <v>2819.2</v>
      </c>
      <c r="L56" s="27">
        <v>2819.2</v>
      </c>
      <c r="M56" s="27"/>
      <c r="N56" s="2">
        <v>2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32</v>
      </c>
      <c r="I58" s="2">
        <v>5</v>
      </c>
      <c r="J58" s="26">
        <v>5</v>
      </c>
      <c r="K58" s="27">
        <f>L58+M58</f>
        <v>14109.4</v>
      </c>
      <c r="L58" s="27">
        <v>14109.4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49</v>
      </c>
      <c r="I61" s="26">
        <v>26</v>
      </c>
      <c r="J61" s="26">
        <v>26</v>
      </c>
      <c r="K61" s="27">
        <f t="shared" si="1"/>
        <v>26769.279999999999</v>
      </c>
      <c r="L61" s="83">
        <f>12981.51+2495.36+11292.41</f>
        <v>26769.279999999999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39</v>
      </c>
      <c r="I62" s="1">
        <v>27</v>
      </c>
      <c r="J62" s="26">
        <v>27</v>
      </c>
      <c r="K62" s="27">
        <f t="shared" si="1"/>
        <v>35313.24</v>
      </c>
      <c r="L62" s="27">
        <f>26838.02+8475.22</f>
        <v>35313.24</v>
      </c>
      <c r="M62" s="27"/>
      <c r="N62" s="1">
        <v>20</v>
      </c>
      <c r="O62" s="27">
        <f t="shared" si="2"/>
        <v>28261.599999999999</v>
      </c>
      <c r="P62" s="27">
        <v>28261.599999999999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33</v>
      </c>
      <c r="I63" s="1">
        <v>23</v>
      </c>
      <c r="J63" s="26">
        <v>26</v>
      </c>
      <c r="K63" s="27">
        <f t="shared" si="1"/>
        <v>17177.3</v>
      </c>
      <c r="L63" s="27">
        <f>12863.92+4313.38</f>
        <v>17177.3</v>
      </c>
      <c r="M63" s="27"/>
      <c r="N63" s="1">
        <v>13</v>
      </c>
      <c r="O63" s="27">
        <f t="shared" si="2"/>
        <v>37111.350000000006</v>
      </c>
      <c r="P63" s="27">
        <v>37111.350000000006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21</v>
      </c>
      <c r="I64" s="1">
        <v>4</v>
      </c>
      <c r="J64" s="26">
        <v>5</v>
      </c>
      <c r="K64" s="27">
        <f t="shared" si="1"/>
        <v>5685.8</v>
      </c>
      <c r="L64" s="27">
        <v>5685.8</v>
      </c>
      <c r="M64" s="27"/>
      <c r="N64" s="1">
        <v>13</v>
      </c>
      <c r="O64" s="27">
        <f t="shared" si="2"/>
        <v>29272.9</v>
      </c>
      <c r="P64" s="27">
        <v>29272.9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26863.22</v>
      </c>
      <c r="P65" s="27">
        <v>26863.22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21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16</v>
      </c>
      <c r="I68" s="1">
        <v>12</v>
      </c>
      <c r="J68" s="26">
        <v>12</v>
      </c>
      <c r="K68" s="27">
        <f t="shared" si="1"/>
        <v>14205.34</v>
      </c>
      <c r="L68" s="27">
        <f>14205.34</f>
        <v>14205.34</v>
      </c>
      <c r="M68" s="27"/>
      <c r="N68" s="1">
        <v>9</v>
      </c>
      <c r="O68" s="27">
        <f t="shared" si="2"/>
        <v>100020.28</v>
      </c>
      <c r="P68" s="27">
        <v>100020.28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8772.65</v>
      </c>
      <c r="P69" s="27">
        <v>8772.65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25</v>
      </c>
      <c r="I70" s="1">
        <v>15</v>
      </c>
      <c r="J70" s="26">
        <v>18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12</v>
      </c>
      <c r="I71" s="2">
        <v>4</v>
      </c>
      <c r="J71" s="26">
        <v>4</v>
      </c>
      <c r="K71" s="27">
        <f t="shared" si="1"/>
        <v>3171.6</v>
      </c>
      <c r="L71" s="27">
        <v>3171.6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30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44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112152.42000000001</v>
      </c>
      <c r="P73" s="27">
        <f>109028.82+3123.6</f>
        <v>112152.42000000001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42</v>
      </c>
      <c r="I75" s="1">
        <v>33</v>
      </c>
      <c r="J75" s="26">
        <v>34</v>
      </c>
      <c r="K75" s="27">
        <f t="shared" si="1"/>
        <v>24402.11</v>
      </c>
      <c r="L75" s="27">
        <f>24129.81+272.3</f>
        <v>24402.11</v>
      </c>
      <c r="M75" s="27"/>
      <c r="N75" s="1">
        <v>9</v>
      </c>
      <c r="O75" s="27">
        <f t="shared" si="2"/>
        <v>33169.909999999996</v>
      </c>
      <c r="P75" s="27">
        <f>31150.39+2019.52</f>
        <v>33169.909999999996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3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12</v>
      </c>
      <c r="I77" s="1">
        <v>2</v>
      </c>
      <c r="J77" s="26">
        <v>2</v>
      </c>
      <c r="K77" s="27">
        <f t="shared" si="3"/>
        <v>6200.7</v>
      </c>
      <c r="L77" s="27">
        <v>6200.7</v>
      </c>
      <c r="M77" s="27"/>
      <c r="N77" s="1">
        <v>9</v>
      </c>
      <c r="O77" s="27">
        <f t="shared" si="4"/>
        <v>42935.74</v>
      </c>
      <c r="P77" s="27">
        <v>42935.74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4</v>
      </c>
      <c r="I78" s="1">
        <v>2</v>
      </c>
      <c r="J78" s="26">
        <v>2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21</v>
      </c>
      <c r="I79" s="1">
        <v>16</v>
      </c>
      <c r="J79" s="26">
        <v>16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27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13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13</v>
      </c>
      <c r="I82" s="1">
        <v>1</v>
      </c>
      <c r="J82" s="26">
        <v>1</v>
      </c>
      <c r="K82" s="27">
        <f t="shared" si="3"/>
        <v>0</v>
      </c>
      <c r="L82" s="27"/>
      <c r="M82" s="27"/>
      <c r="N82" s="1">
        <v>13</v>
      </c>
      <c r="O82" s="27">
        <f t="shared" si="4"/>
        <v>16465.599999999999</v>
      </c>
      <c r="P82" s="27">
        <v>16465.599999999999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22</v>
      </c>
      <c r="I83" s="1">
        <v>16</v>
      </c>
      <c r="J83" s="26">
        <v>16</v>
      </c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0</v>
      </c>
      <c r="L84" s="27"/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86</v>
      </c>
      <c r="I85" s="1">
        <v>47</v>
      </c>
      <c r="J85" s="26">
        <v>47</v>
      </c>
      <c r="K85" s="27">
        <f t="shared" si="3"/>
        <v>47012.42</v>
      </c>
      <c r="L85" s="27">
        <v>47012.42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268</v>
      </c>
      <c r="G86" s="37" t="s">
        <v>131</v>
      </c>
      <c r="H86" s="42">
        <v>7</v>
      </c>
      <c r="I86" s="40"/>
      <c r="J86" s="43"/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41</v>
      </c>
      <c r="I89" s="1">
        <v>38</v>
      </c>
      <c r="J89" s="26">
        <v>39</v>
      </c>
      <c r="K89" s="27">
        <f t="shared" si="3"/>
        <v>40111.32</v>
      </c>
      <c r="L89" s="27">
        <f>34327.04+5784.28</f>
        <v>40111.32</v>
      </c>
      <c r="M89" s="27"/>
      <c r="N89" s="1">
        <v>16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5</v>
      </c>
      <c r="J95" s="26">
        <v>5</v>
      </c>
      <c r="K95" s="27">
        <f t="shared" si="3"/>
        <v>6238.1</v>
      </c>
      <c r="L95" s="27">
        <v>6238.1</v>
      </c>
      <c r="M95" s="27"/>
      <c r="N95" s="2">
        <v>20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13</v>
      </c>
      <c r="I98" s="1">
        <v>11</v>
      </c>
      <c r="J98" s="26">
        <v>12</v>
      </c>
      <c r="K98" s="27">
        <f t="shared" si="3"/>
        <v>6764.75</v>
      </c>
      <c r="L98" s="27">
        <f>2262.4+4502.35</f>
        <v>6764.75</v>
      </c>
      <c r="M98" s="27"/>
      <c r="N98" s="1">
        <v>7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2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1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29</v>
      </c>
      <c r="I104" s="1">
        <v>19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10</v>
      </c>
      <c r="O104" s="27">
        <f t="shared" si="4"/>
        <v>34082.68</v>
      </c>
      <c r="P104" s="27">
        <v>34082.68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17</v>
      </c>
      <c r="I105" s="1">
        <v>12</v>
      </c>
      <c r="J105" s="26">
        <v>13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13</v>
      </c>
      <c r="I106" s="1">
        <v>3</v>
      </c>
      <c r="J106" s="26">
        <v>3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31</v>
      </c>
      <c r="I107" s="1">
        <v>1</v>
      </c>
      <c r="J107" s="26">
        <v>1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23</v>
      </c>
      <c r="I108" s="1">
        <v>18</v>
      </c>
      <c r="J108" s="26">
        <v>22</v>
      </c>
      <c r="K108" s="27">
        <f t="shared" si="3"/>
        <v>12885.23</v>
      </c>
      <c r="L108" s="27">
        <f>10653.08+2232.15</f>
        <v>12885.23</v>
      </c>
      <c r="M108" s="27"/>
      <c r="N108" s="1">
        <v>24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32</v>
      </c>
      <c r="I109" s="1">
        <v>7</v>
      </c>
      <c r="J109" s="26">
        <v>7</v>
      </c>
      <c r="K109" s="27">
        <f t="shared" si="3"/>
        <v>0</v>
      </c>
      <c r="L109" s="27"/>
      <c r="M109" s="27"/>
      <c r="N109" s="1">
        <v>21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32</v>
      </c>
      <c r="I110" s="2">
        <v>14</v>
      </c>
      <c r="J110" s="26">
        <v>14</v>
      </c>
      <c r="K110" s="27">
        <f t="shared" si="3"/>
        <v>10153.620000000001</v>
      </c>
      <c r="L110" s="27">
        <v>10153.620000000001</v>
      </c>
      <c r="M110" s="27"/>
      <c r="N110" s="2">
        <v>32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9</v>
      </c>
      <c r="I112" s="2">
        <v>1</v>
      </c>
      <c r="J112" s="26">
        <v>1</v>
      </c>
      <c r="K112" s="27">
        <f t="shared" si="3"/>
        <v>0</v>
      </c>
      <c r="L112" s="27"/>
      <c r="M112" s="27"/>
      <c r="N112" s="2">
        <v>5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13</v>
      </c>
      <c r="I113" s="2">
        <v>3</v>
      </c>
      <c r="J113" s="26">
        <v>3</v>
      </c>
      <c r="K113" s="27">
        <f t="shared" si="3"/>
        <v>3579.3</v>
      </c>
      <c r="L113" s="27">
        <v>3579.3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34</v>
      </c>
      <c r="I114" s="2">
        <v>23</v>
      </c>
      <c r="J114" s="26">
        <v>24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20</v>
      </c>
      <c r="I115" s="2">
        <v>5</v>
      </c>
      <c r="J115" s="26">
        <v>6</v>
      </c>
      <c r="K115" s="27">
        <f t="shared" si="3"/>
        <v>0</v>
      </c>
      <c r="L115" s="27"/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13</v>
      </c>
      <c r="I116" s="2">
        <v>4</v>
      </c>
      <c r="J116" s="26">
        <v>4</v>
      </c>
      <c r="K116" s="27">
        <f t="shared" si="3"/>
        <v>3106</v>
      </c>
      <c r="L116" s="27">
        <v>3106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33</v>
      </c>
      <c r="I117" s="1">
        <v>26</v>
      </c>
      <c r="J117" s="26">
        <v>28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49157.07</v>
      </c>
      <c r="P117" s="27">
        <f>40874.75+8282.32</f>
        <v>49157.07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31</v>
      </c>
      <c r="I121" s="1">
        <v>22</v>
      </c>
      <c r="J121" s="26">
        <v>28</v>
      </c>
      <c r="K121" s="27">
        <f t="shared" si="3"/>
        <v>24449.19</v>
      </c>
      <c r="L121" s="27">
        <f>23252.01+1197.18</f>
        <v>24449.19</v>
      </c>
      <c r="M121" s="27"/>
      <c r="N121" s="1">
        <v>13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28</v>
      </c>
      <c r="I123" s="1">
        <v>11</v>
      </c>
      <c r="J123" s="26">
        <v>11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30</v>
      </c>
      <c r="I125" s="1">
        <v>6</v>
      </c>
      <c r="J125" s="26">
        <v>6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16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30</v>
      </c>
      <c r="I129" s="1">
        <v>21</v>
      </c>
      <c r="J129" s="26">
        <v>21</v>
      </c>
      <c r="K129" s="27">
        <f t="shared" si="3"/>
        <v>14700.02</v>
      </c>
      <c r="L129" s="27">
        <v>14700.02</v>
      </c>
      <c r="M129" s="27"/>
      <c r="N129" s="1">
        <v>10</v>
      </c>
      <c r="O129" s="27">
        <f t="shared" si="4"/>
        <v>48930.57</v>
      </c>
      <c r="P129" s="27">
        <f>46040.89+2290.6+599.08</f>
        <v>48930.57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58</v>
      </c>
      <c r="I131" s="1">
        <v>54</v>
      </c>
      <c r="J131" s="26">
        <v>56</v>
      </c>
      <c r="K131" s="27">
        <f t="shared" si="3"/>
        <v>39337.339999999997</v>
      </c>
      <c r="L131" s="27">
        <v>39337.339999999997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13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25</v>
      </c>
      <c r="I133" s="1">
        <v>21</v>
      </c>
      <c r="J133" s="26">
        <v>24</v>
      </c>
      <c r="K133" s="27">
        <f t="shared" si="3"/>
        <v>20234.59</v>
      </c>
      <c r="L133" s="27">
        <f>15295.92+4938.67</f>
        <v>20234.59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1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30</v>
      </c>
      <c r="I135" s="1">
        <v>25</v>
      </c>
      <c r="J135" s="26">
        <v>31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24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46</v>
      </c>
      <c r="I136" s="1">
        <v>15</v>
      </c>
      <c r="J136" s="26">
        <v>15</v>
      </c>
      <c r="K136" s="27">
        <f t="shared" si="3"/>
        <v>2466.8000000000002</v>
      </c>
      <c r="L136" s="27">
        <v>2466.8000000000002</v>
      </c>
      <c r="M136" s="27"/>
      <c r="N136" s="1">
        <v>19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30</v>
      </c>
      <c r="I137" s="1">
        <v>20</v>
      </c>
      <c r="J137" s="26">
        <v>22</v>
      </c>
      <c r="K137" s="27">
        <f t="shared" si="3"/>
        <v>14801.52</v>
      </c>
      <c r="L137" s="27">
        <v>14801.52</v>
      </c>
      <c r="M137" s="27"/>
      <c r="N137" s="1">
        <v>16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9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4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32</v>
      </c>
      <c r="I140" s="1">
        <v>9</v>
      </c>
      <c r="J140" s="44">
        <v>10</v>
      </c>
      <c r="K140" s="27">
        <f t="shared" ref="K140:K203" si="5">L140+M140</f>
        <v>9959.6</v>
      </c>
      <c r="L140" s="27">
        <v>9959.6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24</v>
      </c>
      <c r="I141" s="1">
        <v>15</v>
      </c>
      <c r="J141" s="26">
        <v>15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17</v>
      </c>
      <c r="I142" s="1">
        <v>1</v>
      </c>
      <c r="J142" s="26">
        <v>1</v>
      </c>
      <c r="K142" s="27">
        <f t="shared" si="5"/>
        <v>0</v>
      </c>
      <c r="L142" s="27"/>
      <c r="M142" s="27"/>
      <c r="N142" s="1">
        <v>9</v>
      </c>
      <c r="O142" s="27">
        <f t="shared" si="6"/>
        <v>22519.69</v>
      </c>
      <c r="P142" s="36">
        <v>22519.69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13</v>
      </c>
      <c r="J143" s="26">
        <v>13</v>
      </c>
      <c r="K143" s="27">
        <f t="shared" si="5"/>
        <v>5319.65</v>
      </c>
      <c r="L143" s="27">
        <f>2471.02+2848.63</f>
        <v>5319.65</v>
      </c>
      <c r="M143" s="27"/>
      <c r="N143" s="1">
        <v>5</v>
      </c>
      <c r="O143" s="27">
        <f t="shared" si="6"/>
        <v>10093.58</v>
      </c>
      <c r="P143" s="27">
        <v>10093.58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26</v>
      </c>
      <c r="I144" s="1">
        <v>20</v>
      </c>
      <c r="J144" s="26">
        <v>33</v>
      </c>
      <c r="K144" s="27">
        <f t="shared" si="5"/>
        <v>872.19</v>
      </c>
      <c r="L144" s="27">
        <v>872.19</v>
      </c>
      <c r="M144" s="27"/>
      <c r="N144" s="1">
        <v>23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12</v>
      </c>
      <c r="I148" s="1">
        <v>3</v>
      </c>
      <c r="J148" s="26">
        <v>3</v>
      </c>
      <c r="K148" s="27">
        <f t="shared" si="5"/>
        <v>0</v>
      </c>
      <c r="L148" s="27"/>
      <c r="M148" s="27"/>
      <c r="N148" s="1">
        <v>3</v>
      </c>
      <c r="O148" s="27">
        <f t="shared" si="6"/>
        <v>6255.1</v>
      </c>
      <c r="P148" s="27">
        <v>6255.1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17</v>
      </c>
      <c r="I149" s="1">
        <v>11</v>
      </c>
      <c r="J149" s="26">
        <v>12</v>
      </c>
      <c r="K149" s="27">
        <f t="shared" si="5"/>
        <v>6670.26</v>
      </c>
      <c r="L149" s="27">
        <f>2702.63+3967.63</f>
        <v>6670.26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26</v>
      </c>
      <c r="I151" s="1">
        <v>5</v>
      </c>
      <c r="J151" s="26">
        <v>5</v>
      </c>
      <c r="K151" s="27">
        <f t="shared" si="5"/>
        <v>12186.16</v>
      </c>
      <c r="L151" s="27">
        <v>12186.16</v>
      </c>
      <c r="M151" s="27"/>
      <c r="N151" s="1">
        <v>6</v>
      </c>
      <c r="O151" s="27">
        <f t="shared" si="6"/>
        <v>13416.69</v>
      </c>
      <c r="P151" s="27">
        <v>13416.69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41</v>
      </c>
      <c r="I152" s="1">
        <v>29</v>
      </c>
      <c r="J152" s="26">
        <v>43</v>
      </c>
      <c r="K152" s="27">
        <f t="shared" si="5"/>
        <v>39751.32</v>
      </c>
      <c r="L152" s="27">
        <v>39751.32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15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9</v>
      </c>
      <c r="I155" s="1">
        <v>2</v>
      </c>
      <c r="J155" s="26">
        <v>2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20</v>
      </c>
      <c r="I157" s="1">
        <v>6</v>
      </c>
      <c r="J157" s="26">
        <v>6</v>
      </c>
      <c r="K157" s="27">
        <f t="shared" si="5"/>
        <v>5286</v>
      </c>
      <c r="L157" s="27">
        <v>5286</v>
      </c>
      <c r="M157" s="27"/>
      <c r="N157" s="1">
        <v>6</v>
      </c>
      <c r="O157" s="27">
        <f t="shared" si="6"/>
        <v>12686.4</v>
      </c>
      <c r="P157" s="27">
        <v>12686.4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12</v>
      </c>
      <c r="I158" s="1">
        <v>2</v>
      </c>
      <c r="J158" s="26">
        <v>2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27</v>
      </c>
      <c r="I160" s="1">
        <v>21</v>
      </c>
      <c r="J160" s="26">
        <v>22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20</v>
      </c>
      <c r="I168" s="40">
        <v>12</v>
      </c>
      <c r="J168" s="43">
        <v>12</v>
      </c>
      <c r="K168" s="27">
        <f t="shared" si="5"/>
        <v>0</v>
      </c>
      <c r="L168" s="39"/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22</v>
      </c>
      <c r="I169" s="1">
        <v>4</v>
      </c>
      <c r="J169" s="26">
        <v>4</v>
      </c>
      <c r="K169" s="27">
        <f t="shared" si="5"/>
        <v>7752.8</v>
      </c>
      <c r="L169" s="27">
        <v>7752.8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16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5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3</v>
      </c>
      <c r="J173" s="26">
        <v>3</v>
      </c>
      <c r="K173" s="27">
        <f t="shared" si="5"/>
        <v>1938.2</v>
      </c>
      <c r="L173" s="27">
        <v>1938.2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12</v>
      </c>
      <c r="I174" s="1">
        <v>10</v>
      </c>
      <c r="J174" s="26">
        <v>10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12</v>
      </c>
      <c r="I175" s="1">
        <v>4</v>
      </c>
      <c r="J175" s="26">
        <v>5</v>
      </c>
      <c r="K175" s="27">
        <f t="shared" si="5"/>
        <v>7979.15</v>
      </c>
      <c r="L175" s="27">
        <v>7979.15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12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14</v>
      </c>
      <c r="I181" s="2">
        <v>7</v>
      </c>
      <c r="J181" s="26">
        <v>7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51</v>
      </c>
      <c r="I182" s="1">
        <v>47</v>
      </c>
      <c r="J182" s="26">
        <v>47</v>
      </c>
      <c r="K182" s="27">
        <f t="shared" si="5"/>
        <v>18249.71</v>
      </c>
      <c r="L182" s="27">
        <v>18249.71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21</v>
      </c>
      <c r="I183" s="1">
        <v>6</v>
      </c>
      <c r="J183" s="26">
        <v>6</v>
      </c>
      <c r="K183" s="27">
        <f t="shared" si="5"/>
        <v>4786.6000000000004</v>
      </c>
      <c r="L183" s="27">
        <v>4786.6000000000004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42</v>
      </c>
      <c r="I184" s="1">
        <v>28</v>
      </c>
      <c r="J184" s="26">
        <v>29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63</v>
      </c>
      <c r="I185" s="1">
        <v>56</v>
      </c>
      <c r="J185" s="26">
        <v>56</v>
      </c>
      <c r="K185" s="27">
        <f t="shared" si="5"/>
        <v>26917.5</v>
      </c>
      <c r="L185" s="27">
        <f>11917.66+14999.84</f>
        <v>26917.5</v>
      </c>
      <c r="M185" s="27"/>
      <c r="N185" s="1">
        <v>18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36</v>
      </c>
      <c r="I186" s="1">
        <v>10</v>
      </c>
      <c r="J186" s="44">
        <v>10</v>
      </c>
      <c r="K186" s="27">
        <f t="shared" si="5"/>
        <v>20645.599999999999</v>
      </c>
      <c r="L186" s="27">
        <v>20645.599999999999</v>
      </c>
      <c r="M186" s="27"/>
      <c r="N186" s="1">
        <v>17</v>
      </c>
      <c r="O186" s="27">
        <f t="shared" si="6"/>
        <v>30487.919999999998</v>
      </c>
      <c r="P186" s="27">
        <v>30487.919999999998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9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/>
      <c r="J188" s="26"/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13</v>
      </c>
      <c r="I189" s="38">
        <v>3</v>
      </c>
      <c r="J189" s="43">
        <v>3</v>
      </c>
      <c r="K189" s="27">
        <f t="shared" si="5"/>
        <v>552.29999999999995</v>
      </c>
      <c r="L189" s="39">
        <v>552.29999999999995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3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36</v>
      </c>
      <c r="I191" s="1">
        <v>7</v>
      </c>
      <c r="J191" s="26">
        <v>7</v>
      </c>
      <c r="K191" s="27">
        <f t="shared" si="5"/>
        <v>21623.34</v>
      </c>
      <c r="L191" s="27">
        <v>21623.34</v>
      </c>
      <c r="M191" s="27"/>
      <c r="N191" s="1">
        <v>19</v>
      </c>
      <c r="O191" s="27">
        <f t="shared" si="6"/>
        <v>87493.26</v>
      </c>
      <c r="P191" s="27">
        <v>87493.26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11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12</v>
      </c>
      <c r="I193" s="2">
        <v>3</v>
      </c>
      <c r="J193" s="26">
        <v>3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31</v>
      </c>
      <c r="I194" s="2">
        <v>28</v>
      </c>
      <c r="J194" s="26">
        <v>29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48</v>
      </c>
      <c r="I199" s="1">
        <v>31</v>
      </c>
      <c r="J199" s="44">
        <v>32</v>
      </c>
      <c r="K199" s="27">
        <f t="shared" si="5"/>
        <v>44530.22</v>
      </c>
      <c r="L199" s="27">
        <f>39374.14+5156.08</f>
        <v>44530.22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27</v>
      </c>
      <c r="I201" s="1">
        <v>14</v>
      </c>
      <c r="J201" s="44">
        <v>15</v>
      </c>
      <c r="K201" s="27">
        <f t="shared" si="5"/>
        <v>13032.5</v>
      </c>
      <c r="L201" s="27">
        <f>10009.78+3022.72</f>
        <v>13032.5</v>
      </c>
      <c r="M201" s="27"/>
      <c r="N201" s="1">
        <v>25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2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4320.42</v>
      </c>
      <c r="L205" s="63">
        <f>4320.42</f>
        <v>4320.42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3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/>
      <c r="J207" s="51"/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2973</v>
      </c>
      <c r="I208" s="88">
        <f>SUM(I10:I207)</f>
        <v>1506</v>
      </c>
      <c r="J208" s="88">
        <f>SUM(J10:J207)</f>
        <v>1656</v>
      </c>
      <c r="K208" s="90">
        <f>SUM(K10:K207)</f>
        <v>1330585.1800000002</v>
      </c>
      <c r="L208" s="90">
        <f t="shared" ref="L208:M208" si="9">SUM(L10:L207)</f>
        <v>1330585.1800000002</v>
      </c>
      <c r="M208" s="88">
        <f t="shared" si="9"/>
        <v>0</v>
      </c>
      <c r="N208" s="88">
        <f>SUM(N10:N207)</f>
        <v>1148</v>
      </c>
      <c r="O208" s="90">
        <f>SUM(O10:O207)</f>
        <v>3099480.51</v>
      </c>
      <c r="P208" s="90">
        <f>SUM(P10:P207)</f>
        <v>3099480.51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S223"/>
  <sheetViews>
    <sheetView topLeftCell="D203" zoomScaleNormal="100" workbookViewId="0">
      <selection activeCell="H215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27</v>
      </c>
      <c r="I11" s="1">
        <v>11</v>
      </c>
      <c r="J11" s="26">
        <v>11</v>
      </c>
      <c r="K11" s="27">
        <f t="shared" ref="K11:K75" si="1">L11+M11</f>
        <v>18067.2</v>
      </c>
      <c r="L11" s="27">
        <v>18067.2</v>
      </c>
      <c r="M11" s="27"/>
      <c r="N11" s="1">
        <v>17</v>
      </c>
      <c r="O11" s="27">
        <f t="shared" ref="O11:O75" si="2">P11+Q11</f>
        <v>74578.22</v>
      </c>
      <c r="P11" s="27">
        <v>74578.22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47</v>
      </c>
      <c r="I12" s="1">
        <v>18</v>
      </c>
      <c r="J12" s="26">
        <v>25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31"/>
    </row>
    <row r="15" spans="1:18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50</v>
      </c>
      <c r="I16" s="1">
        <v>45</v>
      </c>
      <c r="J16" s="26">
        <v>55</v>
      </c>
      <c r="K16" s="27">
        <f t="shared" si="1"/>
        <v>44323.94</v>
      </c>
      <c r="L16" s="27">
        <f>35564.14+8759.8</f>
        <v>44323.94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55</v>
      </c>
      <c r="I20" s="1">
        <v>35</v>
      </c>
      <c r="J20" s="26">
        <v>36</v>
      </c>
      <c r="K20" s="27">
        <f t="shared" si="1"/>
        <v>38815.240000000005</v>
      </c>
      <c r="L20" s="27">
        <f>32460.24+6355</f>
        <v>38815.240000000005</v>
      </c>
      <c r="M20" s="27"/>
      <c r="N20" s="1">
        <v>26</v>
      </c>
      <c r="O20" s="27">
        <f t="shared" si="2"/>
        <v>92295.76</v>
      </c>
      <c r="P20" s="27">
        <f>70362.9+2269.02+422.88+1395.86+16407.31+1437.79</f>
        <v>92295.76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3</v>
      </c>
      <c r="J22" s="26">
        <v>3</v>
      </c>
      <c r="K22" s="27">
        <f t="shared" si="1"/>
        <v>4050.2</v>
      </c>
      <c r="L22" s="27">
        <v>4050.2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25386.880000000001</v>
      </c>
      <c r="P23" s="27">
        <f>6214.56+19172.32</f>
        <v>25386.880000000001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/>
    </row>
    <row r="26" spans="1:18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31"/>
    </row>
    <row r="27" spans="1:18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15</v>
      </c>
      <c r="I27" s="40">
        <v>2</v>
      </c>
      <c r="J27" s="43">
        <v>2</v>
      </c>
      <c r="K27" s="27">
        <f t="shared" si="1"/>
        <v>1104.5999999999999</v>
      </c>
      <c r="L27" s="39">
        <v>1104.5999999999999</v>
      </c>
      <c r="M27" s="39"/>
      <c r="N27" s="40"/>
      <c r="O27" s="27">
        <f t="shared" si="2"/>
        <v>0</v>
      </c>
      <c r="P27" s="39"/>
      <c r="Q27" s="39"/>
      <c r="R27" s="31"/>
    </row>
    <row r="28" spans="1:1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31"/>
    </row>
    <row r="29" spans="1:1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18</v>
      </c>
      <c r="I29" s="1">
        <v>11</v>
      </c>
      <c r="J29" s="44">
        <v>14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31"/>
    </row>
    <row r="30" spans="1:18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3259.7</v>
      </c>
      <c r="P30" s="27">
        <v>3259.7</v>
      </c>
      <c r="Q30" s="27"/>
      <c r="R30" s="31"/>
    </row>
    <row r="31" spans="1:18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27</v>
      </c>
      <c r="I31" s="1">
        <v>18</v>
      </c>
      <c r="J31" s="26">
        <v>20</v>
      </c>
      <c r="K31" s="27">
        <f t="shared" si="1"/>
        <v>16408.98</v>
      </c>
      <c r="L31" s="27">
        <f>14723.62+1685.36</f>
        <v>16408.98</v>
      </c>
      <c r="M31" s="27"/>
      <c r="N31" s="1">
        <v>22</v>
      </c>
      <c r="O31" s="27">
        <f t="shared" si="2"/>
        <v>49711.5</v>
      </c>
      <c r="P31" s="27">
        <f>20737.96+17118.86+11854.68</f>
        <v>49711.5</v>
      </c>
      <c r="Q31" s="27"/>
      <c r="R31" s="31"/>
    </row>
    <row r="32" spans="1:18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31"/>
    </row>
    <row r="33" spans="1:18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11</v>
      </c>
      <c r="I33" s="2">
        <v>4</v>
      </c>
      <c r="J33" s="26">
        <v>4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31"/>
    </row>
    <row r="34" spans="1:18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24</v>
      </c>
      <c r="I34" s="1">
        <v>16</v>
      </c>
      <c r="J34" s="26">
        <v>26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31"/>
    </row>
    <row r="35" spans="1:18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6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31"/>
    </row>
    <row r="36" spans="1:1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5</v>
      </c>
      <c r="O36" s="27">
        <f t="shared" si="2"/>
        <v>17504.7</v>
      </c>
      <c r="P36" s="27">
        <f>16623.7+881</f>
        <v>17504.7</v>
      </c>
      <c r="Q36" s="27"/>
      <c r="R36" s="31"/>
    </row>
    <row r="37" spans="1:18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14</v>
      </c>
      <c r="I37" s="1">
        <v>1</v>
      </c>
      <c r="J37" s="26">
        <v>1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31"/>
    </row>
    <row r="38" spans="1:18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18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30457.22</v>
      </c>
      <c r="P38" s="27">
        <f>11156.02+2671.19+16630.01</f>
        <v>30457.22</v>
      </c>
      <c r="Q38" s="27"/>
      <c r="R38" s="31"/>
    </row>
    <row r="39" spans="1:18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21</v>
      </c>
      <c r="I39" s="2">
        <v>3</v>
      </c>
      <c r="J39" s="26">
        <v>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31"/>
    </row>
    <row r="40" spans="1:1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27</v>
      </c>
      <c r="I40" s="1">
        <v>18</v>
      </c>
      <c r="J40" s="26">
        <v>20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31"/>
    </row>
    <row r="41" spans="1:18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19</v>
      </c>
      <c r="I41" s="2">
        <v>5</v>
      </c>
      <c r="J41" s="26">
        <v>5</v>
      </c>
      <c r="K41" s="27">
        <f t="shared" si="1"/>
        <v>5814.6</v>
      </c>
      <c r="L41" s="27">
        <v>5814.6</v>
      </c>
      <c r="M41" s="27"/>
      <c r="N41" s="2">
        <v>11</v>
      </c>
      <c r="O41" s="27">
        <f t="shared" si="2"/>
        <v>24514.3</v>
      </c>
      <c r="P41" s="27">
        <v>24514.3</v>
      </c>
      <c r="Q41" s="27"/>
      <c r="R41" s="31"/>
    </row>
    <row r="42" spans="1:1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14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31"/>
    </row>
    <row r="43" spans="1:18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20</v>
      </c>
      <c r="I43" s="1">
        <v>1</v>
      </c>
      <c r="J43" s="26">
        <v>1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31"/>
    </row>
    <row r="44" spans="1:18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30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31"/>
    </row>
    <row r="45" spans="1:18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31"/>
    </row>
    <row r="46" spans="1:1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31"/>
    </row>
    <row r="47" spans="1:18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11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31"/>
    </row>
    <row r="48" spans="1:1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31"/>
    </row>
    <row r="49" spans="1:18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12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31"/>
    </row>
    <row r="50" spans="1:1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21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31"/>
    </row>
    <row r="51" spans="1:18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31"/>
    </row>
    <row r="52" spans="1:1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19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31"/>
    </row>
    <row r="53" spans="1:18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31"/>
    </row>
    <row r="54" spans="1:1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9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31"/>
    </row>
    <row r="55" spans="1:18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31</v>
      </c>
      <c r="I55" s="1">
        <v>17</v>
      </c>
      <c r="J55" s="26">
        <v>17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31"/>
    </row>
    <row r="56" spans="1:18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1</v>
      </c>
      <c r="J56" s="26">
        <v>1</v>
      </c>
      <c r="K56" s="27">
        <f t="shared" si="1"/>
        <v>2819.2</v>
      </c>
      <c r="L56" s="27">
        <v>2819.2</v>
      </c>
      <c r="M56" s="27"/>
      <c r="N56" s="2">
        <v>2</v>
      </c>
      <c r="O56" s="27">
        <f t="shared" si="2"/>
        <v>6343.2</v>
      </c>
      <c r="P56" s="27">
        <v>6343.2</v>
      </c>
      <c r="Q56" s="27"/>
      <c r="R56" s="31"/>
    </row>
    <row r="57" spans="1:18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31"/>
    </row>
    <row r="58" spans="1:18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32</v>
      </c>
      <c r="I58" s="2">
        <v>5</v>
      </c>
      <c r="J58" s="26">
        <v>5</v>
      </c>
      <c r="K58" s="27">
        <f>L58+M58</f>
        <v>14109.4</v>
      </c>
      <c r="L58" s="27">
        <v>14109.4</v>
      </c>
      <c r="M58" s="27"/>
      <c r="N58" s="2"/>
      <c r="O58" s="27">
        <f>P58+Q58</f>
        <v>0</v>
      </c>
      <c r="P58" s="28">
        <v>0</v>
      </c>
      <c r="Q58" s="27"/>
      <c r="R58" s="31"/>
    </row>
    <row r="59" spans="1:18" s="97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31"/>
    </row>
    <row r="60" spans="1:18" s="97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31"/>
    </row>
    <row r="61" spans="1:18" s="97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49</v>
      </c>
      <c r="I61" s="26">
        <v>33</v>
      </c>
      <c r="J61" s="26">
        <v>33</v>
      </c>
      <c r="K61" s="27">
        <f t="shared" si="1"/>
        <v>26769.279999999999</v>
      </c>
      <c r="L61" s="83">
        <f>12981.51+2495.36+11292.41</f>
        <v>26769.279999999999</v>
      </c>
      <c r="M61" s="83"/>
      <c r="N61" s="26"/>
      <c r="O61" s="27">
        <f t="shared" si="2"/>
        <v>0</v>
      </c>
      <c r="P61" s="78"/>
      <c r="Q61" s="84"/>
      <c r="R61" s="31"/>
    </row>
    <row r="62" spans="1:18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27</v>
      </c>
      <c r="J62" s="26">
        <v>27</v>
      </c>
      <c r="K62" s="27">
        <f t="shared" si="1"/>
        <v>35313.24</v>
      </c>
      <c r="L62" s="27">
        <f>26838.02+8475.22</f>
        <v>35313.24</v>
      </c>
      <c r="M62" s="27"/>
      <c r="N62" s="1">
        <v>20</v>
      </c>
      <c r="O62" s="27">
        <f t="shared" si="2"/>
        <v>28261.599999999999</v>
      </c>
      <c r="P62" s="27">
        <v>28261.599999999999</v>
      </c>
      <c r="Q62" s="27"/>
      <c r="R62" s="31"/>
    </row>
    <row r="63" spans="1:1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33</v>
      </c>
      <c r="I63" s="1">
        <v>23</v>
      </c>
      <c r="J63" s="26">
        <v>26</v>
      </c>
      <c r="K63" s="27">
        <f t="shared" si="1"/>
        <v>17177.3</v>
      </c>
      <c r="L63" s="27">
        <f>12863.92+4313.38</f>
        <v>17177.3</v>
      </c>
      <c r="M63" s="27"/>
      <c r="N63" s="1">
        <v>13</v>
      </c>
      <c r="O63" s="27">
        <f t="shared" si="2"/>
        <v>37111.350000000006</v>
      </c>
      <c r="P63" s="27">
        <v>37111.350000000006</v>
      </c>
      <c r="Q63" s="27"/>
      <c r="R63" s="31"/>
    </row>
    <row r="64" spans="1:18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22</v>
      </c>
      <c r="I64" s="1">
        <v>4</v>
      </c>
      <c r="J64" s="26">
        <v>5</v>
      </c>
      <c r="K64" s="27">
        <f t="shared" si="1"/>
        <v>6974.5</v>
      </c>
      <c r="L64" s="27">
        <v>6974.5</v>
      </c>
      <c r="M64" s="27"/>
      <c r="N64" s="1">
        <v>13</v>
      </c>
      <c r="O64" s="27">
        <f t="shared" si="2"/>
        <v>30561.599999999999</v>
      </c>
      <c r="P64" s="27">
        <v>30561.599999999999</v>
      </c>
      <c r="Q64" s="27"/>
      <c r="R64" s="31"/>
    </row>
    <row r="65" spans="1:18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31"/>
    </row>
    <row r="66" spans="1:18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31"/>
    </row>
    <row r="67" spans="1:18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22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31"/>
    </row>
    <row r="68" spans="1:18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16</v>
      </c>
      <c r="I68" s="1">
        <v>12</v>
      </c>
      <c r="J68" s="26">
        <v>12</v>
      </c>
      <c r="K68" s="27">
        <f t="shared" si="1"/>
        <v>14205.34</v>
      </c>
      <c r="L68" s="27">
        <f>14205.34</f>
        <v>14205.34</v>
      </c>
      <c r="M68" s="27"/>
      <c r="N68" s="1">
        <v>9</v>
      </c>
      <c r="O68" s="27">
        <f t="shared" si="2"/>
        <v>101513.66</v>
      </c>
      <c r="P68" s="27">
        <f>100020.28+1493.38</f>
        <v>101513.66</v>
      </c>
      <c r="Q68" s="27"/>
      <c r="R68" s="31"/>
    </row>
    <row r="69" spans="1:18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31"/>
    </row>
    <row r="70" spans="1:1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26</v>
      </c>
      <c r="I70" s="1">
        <v>15</v>
      </c>
      <c r="J70" s="26">
        <v>18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31"/>
    </row>
    <row r="71" spans="1:18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12</v>
      </c>
      <c r="I71" s="2">
        <v>4</v>
      </c>
      <c r="J71" s="26">
        <v>4</v>
      </c>
      <c r="K71" s="27">
        <f t="shared" si="1"/>
        <v>3171.6</v>
      </c>
      <c r="L71" s="27">
        <v>3171.6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31"/>
    </row>
    <row r="72" spans="1:1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30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31"/>
    </row>
    <row r="73" spans="1:18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45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154407.06</v>
      </c>
      <c r="P73" s="27">
        <f>109028.82+3123.6+2556.43+39698.21</f>
        <v>154407.06</v>
      </c>
      <c r="Q73" s="27"/>
      <c r="R73" s="31"/>
    </row>
    <row r="74" spans="1:18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31"/>
    </row>
    <row r="75" spans="1:1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42</v>
      </c>
      <c r="I75" s="1">
        <v>37</v>
      </c>
      <c r="J75" s="26">
        <v>38</v>
      </c>
      <c r="K75" s="27">
        <f t="shared" si="1"/>
        <v>24402.11</v>
      </c>
      <c r="L75" s="27">
        <f>24129.81+272.3</f>
        <v>24402.11</v>
      </c>
      <c r="M75" s="27"/>
      <c r="N75" s="1">
        <v>10</v>
      </c>
      <c r="O75" s="27">
        <f t="shared" si="2"/>
        <v>33169.909999999996</v>
      </c>
      <c r="P75" s="27">
        <f>31150.39+2019.52</f>
        <v>33169.909999999996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3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31"/>
    </row>
    <row r="77" spans="1:18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12</v>
      </c>
      <c r="I77" s="1">
        <v>4</v>
      </c>
      <c r="J77" s="26">
        <v>4</v>
      </c>
      <c r="K77" s="27">
        <f t="shared" si="3"/>
        <v>6200.7</v>
      </c>
      <c r="L77" s="27">
        <v>6200.7</v>
      </c>
      <c r="M77" s="27"/>
      <c r="N77" s="1">
        <v>9</v>
      </c>
      <c r="O77" s="27">
        <f t="shared" si="4"/>
        <v>42935.74</v>
      </c>
      <c r="P77" s="27">
        <v>42935.74</v>
      </c>
      <c r="Q77" s="27"/>
      <c r="R77" s="31"/>
    </row>
    <row r="78" spans="1:18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5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31"/>
    </row>
    <row r="79" spans="1:1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21</v>
      </c>
      <c r="I79" s="1">
        <v>16</v>
      </c>
      <c r="J79" s="26">
        <v>16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31"/>
    </row>
    <row r="80" spans="1:18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28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13</v>
      </c>
      <c r="O80" s="27">
        <f t="shared" si="4"/>
        <v>59901.36</v>
      </c>
      <c r="P80" s="27">
        <v>59901.36</v>
      </c>
      <c r="Q80" s="27"/>
      <c r="R80" s="31"/>
    </row>
    <row r="81" spans="1:18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31"/>
    </row>
    <row r="82" spans="1:18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14</v>
      </c>
      <c r="I82" s="1">
        <v>1</v>
      </c>
      <c r="J82" s="26">
        <v>1</v>
      </c>
      <c r="K82" s="27">
        <f t="shared" si="3"/>
        <v>2025.1</v>
      </c>
      <c r="L82" s="27">
        <v>2025.1</v>
      </c>
      <c r="M82" s="27"/>
      <c r="N82" s="1">
        <v>13</v>
      </c>
      <c r="O82" s="27">
        <f t="shared" si="4"/>
        <v>16465.599999999999</v>
      </c>
      <c r="P82" s="27">
        <v>16465.599999999999</v>
      </c>
      <c r="Q82" s="27"/>
      <c r="R82" s="31"/>
    </row>
    <row r="83" spans="1:1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22</v>
      </c>
      <c r="I83" s="1">
        <v>16</v>
      </c>
      <c r="J83" s="26">
        <v>16</v>
      </c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31"/>
    </row>
    <row r="84" spans="1:18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31"/>
    </row>
    <row r="85" spans="1:18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87</v>
      </c>
      <c r="I85" s="1">
        <v>47</v>
      </c>
      <c r="J85" s="26">
        <v>47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31"/>
    </row>
    <row r="86" spans="1:18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268</v>
      </c>
      <c r="G86" s="37" t="s">
        <v>131</v>
      </c>
      <c r="H86" s="42">
        <v>7</v>
      </c>
      <c r="I86" s="40"/>
      <c r="J86" s="43"/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31"/>
    </row>
    <row r="87" spans="1:18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31"/>
    </row>
    <row r="88" spans="1:18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31"/>
    </row>
    <row r="89" spans="1:18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43</v>
      </c>
      <c r="I89" s="1">
        <v>40</v>
      </c>
      <c r="J89" s="26">
        <v>41</v>
      </c>
      <c r="K89" s="27">
        <f t="shared" si="3"/>
        <v>40111.32</v>
      </c>
      <c r="L89" s="27">
        <f>34327.04+5784.28</f>
        <v>40111.32</v>
      </c>
      <c r="M89" s="27"/>
      <c r="N89" s="1">
        <v>16</v>
      </c>
      <c r="O89" s="27">
        <f t="shared" si="4"/>
        <v>40138.19</v>
      </c>
      <c r="P89" s="27">
        <f>28719.49+11418.7</f>
        <v>40138.19</v>
      </c>
      <c r="Q89" s="27"/>
      <c r="R89" s="31"/>
    </row>
    <row r="90" spans="1:18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31"/>
    </row>
    <row r="91" spans="1:1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31"/>
    </row>
    <row r="92" spans="1:18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31"/>
    </row>
    <row r="93" spans="1:18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31"/>
    </row>
    <row r="94" spans="1:1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31"/>
    </row>
    <row r="95" spans="1:18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5</v>
      </c>
      <c r="J95" s="26">
        <v>5</v>
      </c>
      <c r="K95" s="27">
        <f t="shared" si="3"/>
        <v>6238.1</v>
      </c>
      <c r="L95" s="27">
        <v>6238.1</v>
      </c>
      <c r="M95" s="27"/>
      <c r="N95" s="2">
        <v>20</v>
      </c>
      <c r="O95" s="27">
        <f t="shared" si="4"/>
        <v>27583.71</v>
      </c>
      <c r="P95" s="27">
        <v>27583.71</v>
      </c>
      <c r="Q95" s="27"/>
      <c r="R95" s="31"/>
    </row>
    <row r="96" spans="1:18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31"/>
    </row>
    <row r="97" spans="1:18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13</v>
      </c>
      <c r="I98" s="1">
        <v>11</v>
      </c>
      <c r="J98" s="26">
        <v>12</v>
      </c>
      <c r="K98" s="27">
        <f t="shared" si="3"/>
        <v>6764.75</v>
      </c>
      <c r="L98" s="27">
        <f>2262.4+4502.35</f>
        <v>6764.75</v>
      </c>
      <c r="M98" s="27"/>
      <c r="N98" s="1">
        <v>7</v>
      </c>
      <c r="O98" s="27">
        <f t="shared" si="4"/>
        <v>23489.77</v>
      </c>
      <c r="P98" s="27">
        <v>23489.77</v>
      </c>
      <c r="Q98" s="27"/>
      <c r="R98" s="31"/>
    </row>
    <row r="99" spans="1:1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2</v>
      </c>
      <c r="O99" s="27">
        <f t="shared" si="4"/>
        <v>10878.949999999999</v>
      </c>
      <c r="P99" s="27">
        <v>10878.949999999999</v>
      </c>
      <c r="Q99" s="27"/>
      <c r="R99" s="31"/>
    </row>
    <row r="100" spans="1:18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18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29</v>
      </c>
      <c r="I104" s="1">
        <v>19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10</v>
      </c>
      <c r="O104" s="27">
        <f t="shared" si="4"/>
        <v>38525.03</v>
      </c>
      <c r="P104" s="27">
        <f>34082.68+4442.35</f>
        <v>38525.03</v>
      </c>
      <c r="Q104" s="27"/>
      <c r="R104" s="31"/>
    </row>
    <row r="105" spans="1:18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19</v>
      </c>
      <c r="I105" s="1">
        <v>12</v>
      </c>
      <c r="J105" s="26">
        <v>13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31"/>
    </row>
    <row r="106" spans="1:18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13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31"/>
    </row>
    <row r="107" spans="1:18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32</v>
      </c>
      <c r="I107" s="1">
        <v>5</v>
      </c>
      <c r="J107" s="26">
        <v>5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31"/>
    </row>
    <row r="108" spans="1:1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23</v>
      </c>
      <c r="I108" s="1">
        <v>19</v>
      </c>
      <c r="J108" s="26">
        <v>23</v>
      </c>
      <c r="K108" s="27">
        <f t="shared" si="3"/>
        <v>12885.23</v>
      </c>
      <c r="L108" s="27">
        <f>10653.08+2232.15</f>
        <v>12885.23</v>
      </c>
      <c r="M108" s="27"/>
      <c r="N108" s="1">
        <v>24</v>
      </c>
      <c r="O108" s="27">
        <f t="shared" si="4"/>
        <v>109354.01</v>
      </c>
      <c r="P108" s="27">
        <f>98217.49+1416.65+9719.87</f>
        <v>109354.01</v>
      </c>
      <c r="Q108" s="27"/>
      <c r="R108" s="31"/>
    </row>
    <row r="109" spans="1:18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34</v>
      </c>
      <c r="I109" s="1">
        <v>7</v>
      </c>
      <c r="J109" s="26">
        <v>7</v>
      </c>
      <c r="K109" s="27">
        <f t="shared" si="3"/>
        <v>0</v>
      </c>
      <c r="L109" s="27"/>
      <c r="M109" s="27"/>
      <c r="N109" s="1">
        <v>21</v>
      </c>
      <c r="O109" s="27">
        <f t="shared" si="4"/>
        <v>28762</v>
      </c>
      <c r="P109" s="27">
        <v>28762</v>
      </c>
      <c r="Q109" s="27"/>
      <c r="R109" s="31"/>
    </row>
    <row r="110" spans="1:18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34</v>
      </c>
      <c r="I110" s="2">
        <v>14</v>
      </c>
      <c r="J110" s="26">
        <v>14</v>
      </c>
      <c r="K110" s="27">
        <f t="shared" si="3"/>
        <v>10153.620000000001</v>
      </c>
      <c r="L110" s="27">
        <v>10153.620000000001</v>
      </c>
      <c r="M110" s="27"/>
      <c r="N110" s="2">
        <v>32</v>
      </c>
      <c r="O110" s="27">
        <f t="shared" si="4"/>
        <v>80550.14</v>
      </c>
      <c r="P110" s="35">
        <v>80550.14</v>
      </c>
      <c r="Q110" s="27"/>
      <c r="R110" s="31"/>
    </row>
    <row r="111" spans="1:18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31"/>
    </row>
    <row r="112" spans="1:18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11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31"/>
    </row>
    <row r="113" spans="1:18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13</v>
      </c>
      <c r="I113" s="2">
        <v>3</v>
      </c>
      <c r="J113" s="26">
        <v>3</v>
      </c>
      <c r="K113" s="27">
        <f t="shared" si="3"/>
        <v>6524.9</v>
      </c>
      <c r="L113" s="27">
        <v>6524.9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31"/>
    </row>
    <row r="114" spans="1:1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37</v>
      </c>
      <c r="I114" s="2">
        <v>23</v>
      </c>
      <c r="J114" s="26">
        <v>24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31"/>
    </row>
    <row r="115" spans="1:18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21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15</v>
      </c>
      <c r="I116" s="2">
        <v>6</v>
      </c>
      <c r="J116" s="26">
        <v>6</v>
      </c>
      <c r="K116" s="27">
        <f t="shared" si="3"/>
        <v>7410.8</v>
      </c>
      <c r="L116" s="27">
        <v>7410.8</v>
      </c>
      <c r="M116" s="27"/>
      <c r="N116" s="2"/>
      <c r="O116" s="27">
        <f t="shared" si="4"/>
        <v>0</v>
      </c>
      <c r="P116" s="27"/>
      <c r="Q116" s="27"/>
      <c r="R116" s="31"/>
    </row>
    <row r="117" spans="1:1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34</v>
      </c>
      <c r="I117" s="1">
        <v>26</v>
      </c>
      <c r="J117" s="26">
        <v>28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49157.07</v>
      </c>
      <c r="P117" s="27">
        <f>40874.75+8282.32</f>
        <v>49157.07</v>
      </c>
      <c r="Q117" s="27"/>
      <c r="R117" s="31"/>
    </row>
    <row r="118" spans="1:18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18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31"/>
    </row>
    <row r="121" spans="1:1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31</v>
      </c>
      <c r="I121" s="1">
        <v>22</v>
      </c>
      <c r="J121" s="26">
        <v>28</v>
      </c>
      <c r="K121" s="27">
        <f t="shared" si="3"/>
        <v>24449.19</v>
      </c>
      <c r="L121" s="27">
        <f>23252.01+1197.18</f>
        <v>24449.19</v>
      </c>
      <c r="M121" s="27"/>
      <c r="N121" s="1">
        <v>13</v>
      </c>
      <c r="O121" s="27">
        <f t="shared" si="4"/>
        <v>41732.35</v>
      </c>
      <c r="P121" s="27">
        <f>40384.42+1347.93</f>
        <v>41732.35</v>
      </c>
      <c r="Q121" s="27"/>
      <c r="R121" s="31"/>
    </row>
    <row r="122" spans="1:18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28</v>
      </c>
      <c r="I123" s="1">
        <v>13</v>
      </c>
      <c r="J123" s="26">
        <v>13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31"/>
    </row>
    <row r="124" spans="1:18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31"/>
    </row>
    <row r="125" spans="1:18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30</v>
      </c>
      <c r="I125" s="1">
        <v>8</v>
      </c>
      <c r="J125" s="26">
        <v>8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31"/>
    </row>
    <row r="126" spans="1:18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31"/>
    </row>
    <row r="127" spans="1:1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16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31"/>
    </row>
    <row r="128" spans="1:18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31"/>
    </row>
    <row r="129" spans="1:18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31</v>
      </c>
      <c r="I129" s="1">
        <v>21</v>
      </c>
      <c r="J129" s="26">
        <v>21</v>
      </c>
      <c r="K129" s="27">
        <f t="shared" si="3"/>
        <v>14700.02</v>
      </c>
      <c r="L129" s="27">
        <v>14700.02</v>
      </c>
      <c r="M129" s="27"/>
      <c r="N129" s="1">
        <v>10</v>
      </c>
      <c r="O129" s="27">
        <f t="shared" si="4"/>
        <v>48930.57</v>
      </c>
      <c r="P129" s="27">
        <f>46040.89+2290.6+599.08</f>
        <v>48930.57</v>
      </c>
      <c r="Q129" s="27"/>
      <c r="R129" s="31"/>
    </row>
    <row r="130" spans="1:18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31"/>
    </row>
    <row r="131" spans="1:1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61</v>
      </c>
      <c r="I131" s="1">
        <v>54</v>
      </c>
      <c r="J131" s="26">
        <v>56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31"/>
    </row>
    <row r="132" spans="1:18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31"/>
    </row>
    <row r="133" spans="1:18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25</v>
      </c>
      <c r="I133" s="1">
        <v>21</v>
      </c>
      <c r="J133" s="26">
        <v>24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31"/>
    </row>
    <row r="134" spans="1:18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2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31"/>
    </row>
    <row r="135" spans="1:1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31</v>
      </c>
      <c r="I135" s="1">
        <v>25</v>
      </c>
      <c r="J135" s="26">
        <v>31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26</v>
      </c>
      <c r="O135" s="27">
        <f t="shared" si="4"/>
        <v>36936.46</v>
      </c>
      <c r="P135" s="27">
        <f>35519.81+1416.65</f>
        <v>36936.46</v>
      </c>
      <c r="Q135" s="27"/>
      <c r="R135" s="31"/>
    </row>
    <row r="136" spans="1:18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48</v>
      </c>
      <c r="I136" s="1">
        <v>15</v>
      </c>
      <c r="J136" s="26">
        <v>15</v>
      </c>
      <c r="K136" s="27">
        <f t="shared" si="3"/>
        <v>2466.8000000000002</v>
      </c>
      <c r="L136" s="27">
        <v>2466.8000000000002</v>
      </c>
      <c r="M136" s="27"/>
      <c r="N136" s="1">
        <v>19</v>
      </c>
      <c r="O136" s="27">
        <f t="shared" si="4"/>
        <v>5330.06</v>
      </c>
      <c r="P136" s="27">
        <v>5330.06</v>
      </c>
      <c r="Q136" s="27"/>
      <c r="R136" s="31"/>
    </row>
    <row r="137" spans="1:1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33</v>
      </c>
      <c r="I137" s="1">
        <v>22</v>
      </c>
      <c r="J137" s="26">
        <v>26</v>
      </c>
      <c r="K137" s="27">
        <f t="shared" si="3"/>
        <v>14801.52</v>
      </c>
      <c r="L137" s="27">
        <v>14801.52</v>
      </c>
      <c r="M137" s="27"/>
      <c r="N137" s="1">
        <v>16</v>
      </c>
      <c r="O137" s="27">
        <f t="shared" si="4"/>
        <v>46710.52</v>
      </c>
      <c r="P137" s="27">
        <f>44051.35+2659.17</f>
        <v>46710.52</v>
      </c>
      <c r="Q137" s="27"/>
      <c r="R137" s="31"/>
    </row>
    <row r="138" spans="1:18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9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31"/>
    </row>
    <row r="139" spans="1:1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31"/>
    </row>
    <row r="140" spans="1:18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33</v>
      </c>
      <c r="I140" s="1">
        <v>9</v>
      </c>
      <c r="J140" s="44">
        <v>10</v>
      </c>
      <c r="K140" s="27">
        <f t="shared" ref="K140:K203" si="5">L140+M140</f>
        <v>14009.8</v>
      </c>
      <c r="L140" s="27">
        <v>14009.8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31"/>
    </row>
    <row r="141" spans="1:1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25</v>
      </c>
      <c r="I141" s="1">
        <v>15</v>
      </c>
      <c r="J141" s="26">
        <v>15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31"/>
    </row>
    <row r="142" spans="1:18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17</v>
      </c>
      <c r="I142" s="1">
        <v>1</v>
      </c>
      <c r="J142" s="26">
        <v>1</v>
      </c>
      <c r="K142" s="27">
        <f t="shared" si="5"/>
        <v>552.29999999999995</v>
      </c>
      <c r="L142" s="27">
        <v>552.29999999999995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31"/>
    </row>
    <row r="143" spans="1:1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13</v>
      </c>
      <c r="J143" s="26">
        <v>13</v>
      </c>
      <c r="K143" s="27">
        <f t="shared" si="5"/>
        <v>9097.42</v>
      </c>
      <c r="L143" s="27">
        <f>2471.02+2848.63+3777.77</f>
        <v>9097.42</v>
      </c>
      <c r="M143" s="27"/>
      <c r="N143" s="1">
        <v>5</v>
      </c>
      <c r="O143" s="27">
        <f t="shared" si="6"/>
        <v>102500.61</v>
      </c>
      <c r="P143" s="27">
        <f>10093.58+4307.03+88100</f>
        <v>102500.61</v>
      </c>
      <c r="Q143" s="27"/>
      <c r="R143" s="31"/>
    </row>
    <row r="144" spans="1:18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26</v>
      </c>
      <c r="I144" s="1">
        <v>21</v>
      </c>
      <c r="J144" s="26">
        <v>37</v>
      </c>
      <c r="K144" s="27">
        <f t="shared" si="5"/>
        <v>872.19</v>
      </c>
      <c r="L144" s="27">
        <v>872.19</v>
      </c>
      <c r="M144" s="27"/>
      <c r="N144" s="1">
        <v>24</v>
      </c>
      <c r="O144" s="27">
        <f t="shared" si="6"/>
        <v>39982.019999999997</v>
      </c>
      <c r="P144" s="27">
        <f>35132.88+3580.5+1268.64</f>
        <v>39982.019999999997</v>
      </c>
      <c r="Q144" s="27"/>
      <c r="R144" s="31"/>
    </row>
    <row r="145" spans="1:18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31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31"/>
    </row>
    <row r="147" spans="1:18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31"/>
    </row>
    <row r="148" spans="1:18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12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31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20</v>
      </c>
      <c r="I149" s="1">
        <v>11</v>
      </c>
      <c r="J149" s="26">
        <v>12</v>
      </c>
      <c r="K149" s="27">
        <f t="shared" si="5"/>
        <v>6670.26</v>
      </c>
      <c r="L149" s="27">
        <f>2702.63+3967.63</f>
        <v>6670.26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31"/>
    </row>
    <row r="150" spans="1:18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31"/>
    </row>
    <row r="151" spans="1:18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26</v>
      </c>
      <c r="I151" s="1">
        <v>5</v>
      </c>
      <c r="J151" s="26">
        <v>5</v>
      </c>
      <c r="K151" s="27">
        <f t="shared" si="5"/>
        <v>12186.16</v>
      </c>
      <c r="L151" s="27">
        <v>12186.16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31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41</v>
      </c>
      <c r="I152" s="1">
        <v>30</v>
      </c>
      <c r="J152" s="26">
        <v>44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31"/>
    </row>
    <row r="153" spans="1:18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17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31"/>
    </row>
    <row r="154" spans="1:18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31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9</v>
      </c>
      <c r="I155" s="1">
        <v>6</v>
      </c>
      <c r="J155" s="26">
        <v>6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31"/>
    </row>
    <row r="156" spans="1:18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31"/>
    </row>
    <row r="157" spans="1:18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21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6</v>
      </c>
      <c r="O157" s="27">
        <f t="shared" si="6"/>
        <v>13975.1</v>
      </c>
      <c r="P157" s="27">
        <v>13975.1</v>
      </c>
      <c r="Q157" s="27"/>
      <c r="R157" s="31"/>
    </row>
    <row r="158" spans="1:18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12</v>
      </c>
      <c r="I158" s="1">
        <v>2</v>
      </c>
      <c r="J158" s="26">
        <v>2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31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31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27</v>
      </c>
      <c r="I160" s="1">
        <v>24</v>
      </c>
      <c r="J160" s="26">
        <v>25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31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31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31"/>
    </row>
    <row r="163" spans="1:18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31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31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31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31"/>
    </row>
    <row r="167" spans="1:18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31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21</v>
      </c>
      <c r="I168" s="40">
        <v>12</v>
      </c>
      <c r="J168" s="43">
        <v>12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31"/>
    </row>
    <row r="169" spans="1:18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24</v>
      </c>
      <c r="I169" s="1">
        <v>9</v>
      </c>
      <c r="J169" s="26">
        <v>9</v>
      </c>
      <c r="K169" s="27">
        <f t="shared" si="5"/>
        <v>8857.4</v>
      </c>
      <c r="L169" s="27">
        <v>8857.4</v>
      </c>
      <c r="M169" s="27"/>
      <c r="N169" s="1"/>
      <c r="O169" s="27">
        <f t="shared" si="6"/>
        <v>0</v>
      </c>
      <c r="P169" s="27"/>
      <c r="Q169" s="27"/>
      <c r="R169" s="31"/>
    </row>
    <row r="170" spans="1:18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16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31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5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31"/>
    </row>
    <row r="172" spans="1:18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31"/>
    </row>
    <row r="173" spans="1:18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3</v>
      </c>
      <c r="J173" s="26">
        <v>3</v>
      </c>
      <c r="K173" s="27">
        <f t="shared" si="5"/>
        <v>1938.2</v>
      </c>
      <c r="L173" s="27">
        <v>1938.2</v>
      </c>
      <c r="M173" s="27"/>
      <c r="N173" s="1"/>
      <c r="O173" s="27">
        <f t="shared" si="6"/>
        <v>0</v>
      </c>
      <c r="P173" s="27"/>
      <c r="Q173" s="27"/>
      <c r="R173" s="31"/>
    </row>
    <row r="174" spans="1:18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12</v>
      </c>
      <c r="I174" s="1">
        <v>10</v>
      </c>
      <c r="J174" s="26">
        <v>10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31"/>
    </row>
    <row r="175" spans="1:18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12</v>
      </c>
      <c r="I175" s="1">
        <v>4</v>
      </c>
      <c r="J175" s="26">
        <v>5</v>
      </c>
      <c r="K175" s="27">
        <f t="shared" si="5"/>
        <v>10188.35</v>
      </c>
      <c r="L175" s="27">
        <v>10188.35</v>
      </c>
      <c r="M175" s="27"/>
      <c r="N175" s="1"/>
      <c r="O175" s="27">
        <f t="shared" si="6"/>
        <v>0</v>
      </c>
      <c r="P175" s="27"/>
      <c r="Q175" s="27"/>
      <c r="R175" s="31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31"/>
    </row>
    <row r="177" spans="1:1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13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31"/>
    </row>
    <row r="178" spans="1:18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31"/>
    </row>
    <row r="179" spans="1:18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31"/>
    </row>
    <row r="180" spans="1:18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31"/>
    </row>
    <row r="181" spans="1:18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14</v>
      </c>
      <c r="I181" s="2">
        <v>8</v>
      </c>
      <c r="J181" s="26">
        <v>8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31"/>
    </row>
    <row r="182" spans="1:1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51</v>
      </c>
      <c r="I182" s="1">
        <v>47</v>
      </c>
      <c r="J182" s="26">
        <v>47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31"/>
    </row>
    <row r="183" spans="1:18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21</v>
      </c>
      <c r="I183" s="1">
        <v>7</v>
      </c>
      <c r="J183" s="26">
        <v>7</v>
      </c>
      <c r="K183" s="27">
        <f t="shared" si="5"/>
        <v>6075.3</v>
      </c>
      <c r="L183" s="27">
        <v>6075.3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31"/>
    </row>
    <row r="184" spans="1:18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45</v>
      </c>
      <c r="I184" s="1">
        <v>28</v>
      </c>
      <c r="J184" s="26">
        <v>29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31"/>
    </row>
    <row r="185" spans="1:1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66</v>
      </c>
      <c r="I185" s="1">
        <v>59</v>
      </c>
      <c r="J185" s="26">
        <v>59</v>
      </c>
      <c r="K185" s="27">
        <f t="shared" si="5"/>
        <v>26917.5</v>
      </c>
      <c r="L185" s="27">
        <f>11917.66+14999.84</f>
        <v>26917.5</v>
      </c>
      <c r="M185" s="27"/>
      <c r="N185" s="1">
        <v>18</v>
      </c>
      <c r="O185" s="27">
        <f t="shared" si="6"/>
        <v>112544.14</v>
      </c>
      <c r="P185" s="27">
        <f>98283.26+14260.88</f>
        <v>112544.14</v>
      </c>
      <c r="Q185" s="27"/>
      <c r="R185" s="31"/>
    </row>
    <row r="186" spans="1:18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38</v>
      </c>
      <c r="I186" s="1">
        <v>10</v>
      </c>
      <c r="J186" s="44">
        <v>10</v>
      </c>
      <c r="K186" s="27">
        <f t="shared" si="5"/>
        <v>20645.599999999999</v>
      </c>
      <c r="L186" s="27">
        <v>20645.599999999999</v>
      </c>
      <c r="M186" s="27"/>
      <c r="N186" s="1">
        <v>17</v>
      </c>
      <c r="O186" s="27">
        <f t="shared" si="6"/>
        <v>30487.919999999998</v>
      </c>
      <c r="P186" s="27">
        <v>30487.919999999998</v>
      </c>
      <c r="Q186" s="27"/>
      <c r="R186" s="31"/>
    </row>
    <row r="187" spans="1:1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9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31"/>
    </row>
    <row r="188" spans="1:18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/>
      <c r="J188" s="26"/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31"/>
    </row>
    <row r="189" spans="1:18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16</v>
      </c>
      <c r="I189" s="38">
        <v>3</v>
      </c>
      <c r="J189" s="43">
        <v>3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31"/>
    </row>
    <row r="190" spans="1:1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3</v>
      </c>
      <c r="O190" s="27">
        <f t="shared" si="6"/>
        <v>4713.3500000000004</v>
      </c>
      <c r="P190" s="27">
        <f>660.75+4052.6</f>
        <v>4713.3500000000004</v>
      </c>
      <c r="Q190" s="27"/>
      <c r="R190" s="31"/>
    </row>
    <row r="191" spans="1:18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36</v>
      </c>
      <c r="I191" s="1">
        <v>7</v>
      </c>
      <c r="J191" s="26">
        <v>7</v>
      </c>
      <c r="K191" s="27">
        <f t="shared" si="5"/>
        <v>27698.639999999999</v>
      </c>
      <c r="L191" s="27">
        <v>27698.639999999999</v>
      </c>
      <c r="M191" s="27"/>
      <c r="N191" s="1">
        <v>19</v>
      </c>
      <c r="O191" s="27">
        <f t="shared" si="6"/>
        <v>93568.56</v>
      </c>
      <c r="P191" s="27">
        <v>93568.56</v>
      </c>
      <c r="Q191" s="27"/>
      <c r="R191" s="31"/>
    </row>
    <row r="192" spans="1:1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11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31"/>
    </row>
    <row r="193" spans="1:18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12</v>
      </c>
      <c r="I193" s="2">
        <v>3</v>
      </c>
      <c r="J193" s="26">
        <v>3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31"/>
    </row>
    <row r="194" spans="1:18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32</v>
      </c>
      <c r="I194" s="2">
        <v>28</v>
      </c>
      <c r="J194" s="26">
        <v>29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31"/>
    </row>
    <row r="195" spans="1:18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31"/>
    </row>
    <row r="196" spans="1:18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31"/>
    </row>
    <row r="197" spans="1:18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31"/>
    </row>
    <row r="198" spans="1:18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31"/>
    </row>
    <row r="199" spans="1:18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48</v>
      </c>
      <c r="I199" s="1">
        <v>43</v>
      </c>
      <c r="J199" s="44">
        <v>44</v>
      </c>
      <c r="K199" s="27">
        <f t="shared" si="5"/>
        <v>44530.22</v>
      </c>
      <c r="L199" s="27">
        <f>39374.14+5156.08</f>
        <v>44530.22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31"/>
    </row>
    <row r="200" spans="1:18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31"/>
    </row>
    <row r="201" spans="1:18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29</v>
      </c>
      <c r="I201" s="1">
        <v>14</v>
      </c>
      <c r="J201" s="44">
        <v>15</v>
      </c>
      <c r="K201" s="27">
        <f t="shared" si="5"/>
        <v>13032.5</v>
      </c>
      <c r="L201" s="27">
        <f>10009.78+3022.72</f>
        <v>13032.5</v>
      </c>
      <c r="M201" s="27"/>
      <c r="N201" s="1">
        <v>25</v>
      </c>
      <c r="O201" s="27">
        <f t="shared" si="6"/>
        <v>42727.29</v>
      </c>
      <c r="P201" s="27">
        <f>33365.57+2652.02+5863.94+845.76</f>
        <v>42727.29</v>
      </c>
      <c r="Q201" s="27"/>
      <c r="R201" s="31"/>
    </row>
    <row r="202" spans="1:18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31"/>
    </row>
    <row r="203" spans="1:18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31"/>
    </row>
    <row r="204" spans="1:18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2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31"/>
    </row>
    <row r="205" spans="1:18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4320.42</v>
      </c>
      <c r="L205" s="63">
        <f>4320.42</f>
        <v>4320.42</v>
      </c>
      <c r="M205" s="63"/>
      <c r="N205" s="32"/>
      <c r="O205" s="27">
        <f t="shared" ref="O205:O207" si="8">P205+Q205</f>
        <v>0</v>
      </c>
      <c r="P205" s="63"/>
      <c r="Q205" s="63"/>
      <c r="R205" s="31"/>
    </row>
    <row r="206" spans="1:18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3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31"/>
    </row>
    <row r="207" spans="1:18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/>
      <c r="J207" s="51"/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31"/>
    </row>
    <row r="208" spans="1:18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3054</v>
      </c>
      <c r="I208" s="88">
        <f>SUM(I10:I207)</f>
        <v>1580</v>
      </c>
      <c r="J208" s="88">
        <f>SUM(J10:J207)</f>
        <v>1735</v>
      </c>
      <c r="K208" s="90">
        <f>SUM(K10:K207)</f>
        <v>1448722.1700000004</v>
      </c>
      <c r="L208" s="90">
        <f t="shared" ref="L208:M208" si="9">SUM(L10:L207)</f>
        <v>1448722.1700000004</v>
      </c>
      <c r="M208" s="88">
        <f t="shared" si="9"/>
        <v>0</v>
      </c>
      <c r="N208" s="88">
        <f>SUM(N10:N207)</f>
        <v>1156</v>
      </c>
      <c r="O208" s="90">
        <f>SUM(O10:O207)</f>
        <v>3339461.79</v>
      </c>
      <c r="P208" s="90">
        <f>SUM(P10:P207)</f>
        <v>3339461.79</v>
      </c>
      <c r="Q208" s="90">
        <f>SUM(Q10:Q207)</f>
        <v>0</v>
      </c>
      <c r="R208" s="31"/>
    </row>
    <row r="209" spans="1:19" ht="15" customHeight="1">
      <c r="A209" s="24"/>
      <c r="B209" s="23"/>
      <c r="C209" s="24"/>
      <c r="D209" s="23"/>
      <c r="E209" s="23"/>
      <c r="F209" s="23"/>
      <c r="G209" s="23"/>
      <c r="H209" s="98"/>
      <c r="I209" s="98"/>
      <c r="J209" s="98"/>
      <c r="K209" s="98"/>
      <c r="L209" s="98"/>
      <c r="M209" s="98"/>
      <c r="N209" s="98"/>
      <c r="O209" s="98"/>
      <c r="P209" s="24"/>
      <c r="Q209" s="24"/>
      <c r="R209" s="31"/>
    </row>
    <row r="210" spans="1:19">
      <c r="R210" s="31"/>
    </row>
    <row r="211" spans="1:19">
      <c r="K211" s="31"/>
      <c r="L211" s="31"/>
      <c r="M211" s="31"/>
      <c r="N211" s="31"/>
      <c r="O211" s="31"/>
    </row>
    <row r="212" spans="1:19">
      <c r="K212" s="31"/>
      <c r="L212" s="31"/>
      <c r="N212" s="31"/>
      <c r="O212" s="31"/>
    </row>
    <row r="213" spans="1:19">
      <c r="K213" s="31"/>
      <c r="L213" s="31"/>
      <c r="M213" s="31"/>
      <c r="N213" s="31"/>
      <c r="O213" s="31"/>
      <c r="P213" s="31"/>
      <c r="Q213" s="31"/>
      <c r="S213" s="31"/>
    </row>
    <row r="214" spans="1:19">
      <c r="K214" s="31"/>
      <c r="L214" s="31"/>
      <c r="M214" s="31"/>
      <c r="N214" s="31"/>
      <c r="O214" s="31"/>
      <c r="P214" s="31"/>
      <c r="Q214" s="31"/>
    </row>
    <row r="215" spans="1:19">
      <c r="K215" s="31"/>
      <c r="L215" s="31"/>
      <c r="M215" s="31"/>
      <c r="N215" s="31"/>
      <c r="O215" s="31"/>
      <c r="P215" s="31"/>
      <c r="Q215" s="31"/>
    </row>
    <row r="216" spans="1:19">
      <c r="K216" s="31"/>
      <c r="L216" s="31"/>
      <c r="M216" s="31"/>
      <c r="N216" s="31"/>
      <c r="O216" s="31"/>
      <c r="P216" s="31"/>
      <c r="Q216" s="31"/>
    </row>
    <row r="217" spans="1:19">
      <c r="K217" s="31"/>
      <c r="L217" s="31"/>
      <c r="M217" s="31"/>
      <c r="N217" s="31"/>
      <c r="O217" s="31"/>
      <c r="P217" s="31"/>
      <c r="Q217" s="31"/>
      <c r="S217" s="31"/>
    </row>
    <row r="219" spans="1:19">
      <c r="K219" s="31"/>
      <c r="O219" s="31"/>
      <c r="P219" s="31"/>
    </row>
    <row r="222" spans="1:19">
      <c r="O222" s="31"/>
    </row>
    <row r="223" spans="1:19">
      <c r="L223" s="31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R185"/>
  <sheetViews>
    <sheetView topLeftCell="A153" zoomScale="79" zoomScaleNormal="79" workbookViewId="0">
      <selection activeCell="H170" sqref="A7:Q170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f t="shared" si="0"/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3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2</v>
      </c>
      <c r="I11" s="1"/>
      <c r="J11" s="26"/>
      <c r="K11" s="27">
        <f t="shared" ref="K11:K76" si="2">L11+M11</f>
        <v>0</v>
      </c>
      <c r="L11" s="27"/>
      <c r="M11" s="27"/>
      <c r="N11" s="1">
        <v>4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3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292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2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268</v>
      </c>
      <c r="G15" s="23" t="s">
        <v>136</v>
      </c>
      <c r="H15" s="25">
        <v>2</v>
      </c>
      <c r="I15" s="2"/>
      <c r="J15" s="26"/>
      <c r="K15" s="27">
        <f t="shared" si="2"/>
        <v>0</v>
      </c>
      <c r="L15" s="27"/>
      <c r="M15" s="27"/>
      <c r="N15" s="2"/>
      <c r="O15" s="27">
        <f t="shared" si="1"/>
        <v>0</v>
      </c>
      <c r="P15" s="27"/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6</v>
      </c>
      <c r="I16" s="1">
        <v>3</v>
      </c>
      <c r="J16" s="26">
        <v>3</v>
      </c>
      <c r="K16" s="27">
        <f t="shared" si="2"/>
        <v>0</v>
      </c>
      <c r="L16" s="27"/>
      <c r="M16" s="27"/>
      <c r="N16" s="1">
        <v>6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4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5</v>
      </c>
      <c r="I20" s="1"/>
      <c r="J20" s="26"/>
      <c r="K20" s="27">
        <f t="shared" si="2"/>
        <v>0</v>
      </c>
      <c r="L20" s="27"/>
      <c r="M20" s="27"/>
      <c r="N20" s="1">
        <v>6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292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292</v>
      </c>
      <c r="G22" s="23" t="s">
        <v>124</v>
      </c>
      <c r="H22" s="25">
        <v>1</v>
      </c>
      <c r="I22" s="2"/>
      <c r="J22" s="26"/>
      <c r="K22" s="27">
        <f t="shared" si="2"/>
        <v>0</v>
      </c>
      <c r="L22" s="27"/>
      <c r="M22" s="27"/>
      <c r="N22" s="2">
        <v>1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/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3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1</v>
      </c>
      <c r="I27" s="1"/>
      <c r="J27" s="44"/>
      <c r="K27" s="27">
        <f t="shared" si="2"/>
        <v>0</v>
      </c>
      <c r="L27" s="27"/>
      <c r="M27" s="27"/>
      <c r="N27" s="1"/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/>
      <c r="L28" s="27"/>
      <c r="M28" s="27"/>
      <c r="N28" s="1"/>
      <c r="O28" s="27"/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2</v>
      </c>
      <c r="I29" s="1"/>
      <c r="J29" s="26"/>
      <c r="K29" s="27">
        <f t="shared" si="2"/>
        <v>0</v>
      </c>
      <c r="L29" s="27"/>
      <c r="M29" s="27"/>
      <c r="N29" s="1"/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3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123</v>
      </c>
      <c r="G31" s="23" t="s">
        <v>136</v>
      </c>
      <c r="H31" s="25">
        <v>0</v>
      </c>
      <c r="I31" s="2"/>
      <c r="J31" s="26"/>
      <c r="K31" s="27">
        <f t="shared" si="2"/>
        <v>0</v>
      </c>
      <c r="L31" s="27"/>
      <c r="M31" s="27"/>
      <c r="N31" s="2"/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3</v>
      </c>
      <c r="I32" s="1">
        <v>1</v>
      </c>
      <c r="J32" s="26">
        <v>1</v>
      </c>
      <c r="K32" s="27">
        <f t="shared" si="2"/>
        <v>0</v>
      </c>
      <c r="L32" s="27"/>
      <c r="M32" s="27"/>
      <c r="N32" s="1">
        <v>4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292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/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2</v>
      </c>
      <c r="I35" s="1"/>
      <c r="J35" s="26"/>
      <c r="K35" s="27">
        <f t="shared" si="2"/>
        <v>0</v>
      </c>
      <c r="L35" s="27"/>
      <c r="M35" s="27"/>
      <c r="N35" s="1">
        <v>1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0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292</v>
      </c>
      <c r="G37" s="23" t="s">
        <v>136</v>
      </c>
      <c r="H37" s="25">
        <v>0</v>
      </c>
      <c r="I37" s="2"/>
      <c r="J37" s="26"/>
      <c r="K37" s="27">
        <f t="shared" si="2"/>
        <v>0</v>
      </c>
      <c r="L37" s="27"/>
      <c r="M37" s="27"/>
      <c r="N37" s="2"/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1</v>
      </c>
      <c r="I38" s="1"/>
      <c r="J38" s="26"/>
      <c r="K38" s="27">
        <f t="shared" si="2"/>
        <v>0</v>
      </c>
      <c r="L38" s="27"/>
      <c r="M38" s="27"/>
      <c r="N38" s="1">
        <v>5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123</v>
      </c>
      <c r="G39" s="23" t="s">
        <v>136</v>
      </c>
      <c r="H39" s="25">
        <v>3</v>
      </c>
      <c r="I39" s="2"/>
      <c r="J39" s="26"/>
      <c r="K39" s="27">
        <f t="shared" si="2"/>
        <v>0</v>
      </c>
      <c r="L39" s="27"/>
      <c r="M39" s="27"/>
      <c r="N39" s="2"/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1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2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2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120</v>
      </c>
      <c r="G43" s="23" t="s">
        <v>124</v>
      </c>
      <c r="H43" s="25">
        <v>0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1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294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/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120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1</v>
      </c>
      <c r="O47" s="27">
        <f t="shared" si="1"/>
        <v>0</v>
      </c>
      <c r="P47" s="27"/>
      <c r="Q47" s="27"/>
      <c r="R47" s="20"/>
    </row>
    <row r="48" spans="1:38" ht="15" customHeight="1">
      <c r="A48" s="24">
        <v>20</v>
      </c>
      <c r="B48" s="23" t="s">
        <v>48</v>
      </c>
      <c r="C48" s="24" t="s">
        <v>18</v>
      </c>
      <c r="D48" s="23"/>
      <c r="E48" s="23" t="s">
        <v>19</v>
      </c>
      <c r="F48" s="23" t="s">
        <v>295</v>
      </c>
      <c r="G48" s="23" t="s">
        <v>142</v>
      </c>
      <c r="H48" s="25">
        <v>3</v>
      </c>
      <c r="I48" s="1">
        <v>1</v>
      </c>
      <c r="J48" s="26">
        <v>1</v>
      </c>
      <c r="K48" s="27">
        <f t="shared" si="2"/>
        <v>0</v>
      </c>
      <c r="L48" s="27"/>
      <c r="M48" s="27"/>
      <c r="N48" s="1">
        <v>2</v>
      </c>
      <c r="O48" s="27">
        <f t="shared" si="1"/>
        <v>0</v>
      </c>
      <c r="P48" s="27"/>
      <c r="Q48" s="27"/>
      <c r="R48" s="20"/>
    </row>
    <row r="49" spans="1:38" ht="15" customHeight="1">
      <c r="A49" s="24"/>
      <c r="B49" s="23" t="s">
        <v>48</v>
      </c>
      <c r="C49" s="24" t="s">
        <v>18</v>
      </c>
      <c r="D49" s="23"/>
      <c r="E49" s="23" t="s">
        <v>19</v>
      </c>
      <c r="F49" s="23" t="s">
        <v>120</v>
      </c>
      <c r="G49" s="23" t="s">
        <v>122</v>
      </c>
      <c r="H49" s="25">
        <v>0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20"/>
    </row>
    <row r="50" spans="1:38" ht="15" customHeight="1">
      <c r="A50" s="24">
        <v>21</v>
      </c>
      <c r="B50" s="23" t="s">
        <v>49</v>
      </c>
      <c r="C50" s="24" t="s">
        <v>18</v>
      </c>
      <c r="D50" s="23"/>
      <c r="E50" s="23" t="s">
        <v>19</v>
      </c>
      <c r="F50" s="23" t="s">
        <v>120</v>
      </c>
      <c r="G50" s="23" t="s">
        <v>142</v>
      </c>
      <c r="H50" s="25">
        <v>4</v>
      </c>
      <c r="I50" s="1"/>
      <c r="J50" s="26"/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20"/>
    </row>
    <row r="51" spans="1:38" s="7" customFormat="1" ht="15" customHeight="1">
      <c r="A51" s="24">
        <v>22</v>
      </c>
      <c r="B51" s="23" t="s">
        <v>138</v>
      </c>
      <c r="C51" s="24" t="s">
        <v>18</v>
      </c>
      <c r="D51" s="23"/>
      <c r="E51" s="23" t="s">
        <v>34</v>
      </c>
      <c r="F51" s="23" t="s">
        <v>292</v>
      </c>
      <c r="G51" s="23" t="s">
        <v>142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 spans="1:38" ht="15" customHeight="1">
      <c r="A52" s="24"/>
      <c r="B52" s="23" t="s">
        <v>138</v>
      </c>
      <c r="C52" s="24" t="s">
        <v>18</v>
      </c>
      <c r="D52" s="23"/>
      <c r="E52" s="23" t="s">
        <v>34</v>
      </c>
      <c r="F52" s="23" t="s">
        <v>268</v>
      </c>
      <c r="G52" s="23" t="s">
        <v>136</v>
      </c>
      <c r="H52" s="25">
        <v>1</v>
      </c>
      <c r="I52" s="2"/>
      <c r="J52" s="26"/>
      <c r="K52" s="27">
        <f t="shared" si="2"/>
        <v>0</v>
      </c>
      <c r="L52" s="27"/>
      <c r="M52" s="27"/>
      <c r="N52" s="2"/>
      <c r="O52" s="27">
        <f t="shared" si="1"/>
        <v>0</v>
      </c>
      <c r="P52" s="27"/>
      <c r="Q52" s="27"/>
      <c r="R52" s="20"/>
    </row>
    <row r="53" spans="1:38" s="8" customFormat="1">
      <c r="A53" s="78">
        <v>23</v>
      </c>
      <c r="B53" s="79" t="s">
        <v>147</v>
      </c>
      <c r="C53" s="80" t="s">
        <v>18</v>
      </c>
      <c r="D53" s="79"/>
      <c r="E53" s="79" t="s">
        <v>50</v>
      </c>
      <c r="F53" s="79"/>
      <c r="G53" s="79" t="s">
        <v>142</v>
      </c>
      <c r="H53" s="81">
        <v>0</v>
      </c>
      <c r="I53" s="82"/>
      <c r="J53" s="26"/>
      <c r="K53" s="27">
        <f t="shared" si="2"/>
        <v>0</v>
      </c>
      <c r="L53" s="83"/>
      <c r="M53" s="83"/>
      <c r="N53" s="26"/>
      <c r="O53" s="27">
        <f t="shared" si="1"/>
        <v>0</v>
      </c>
      <c r="P53" s="78"/>
      <c r="Q53" s="84"/>
      <c r="R53" s="20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7" customFormat="1" ht="24.75" customHeight="1">
      <c r="A54" s="29">
        <v>24</v>
      </c>
      <c r="B54" s="30" t="s">
        <v>51</v>
      </c>
      <c r="C54" s="29" t="s">
        <v>52</v>
      </c>
      <c r="D54" s="30" t="s">
        <v>53</v>
      </c>
      <c r="E54" s="30" t="s">
        <v>19</v>
      </c>
      <c r="F54" s="30" t="s">
        <v>292</v>
      </c>
      <c r="G54" s="30" t="s">
        <v>142</v>
      </c>
      <c r="H54" s="25">
        <v>4</v>
      </c>
      <c r="I54" s="1"/>
      <c r="J54" s="26"/>
      <c r="K54" s="27">
        <f t="shared" si="2"/>
        <v>0</v>
      </c>
      <c r="L54" s="27"/>
      <c r="M54" s="27"/>
      <c r="N54" s="1">
        <v>10</v>
      </c>
      <c r="O54" s="27">
        <f t="shared" si="1"/>
        <v>0</v>
      </c>
      <c r="P54" s="27"/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>
        <v>25</v>
      </c>
      <c r="B55" s="23" t="s">
        <v>54</v>
      </c>
      <c r="C55" s="24" t="s">
        <v>18</v>
      </c>
      <c r="D55" s="23"/>
      <c r="E55" s="23" t="s">
        <v>19</v>
      </c>
      <c r="F55" s="23" t="s">
        <v>120</v>
      </c>
      <c r="G55" s="23" t="s">
        <v>142</v>
      </c>
      <c r="H55" s="25">
        <v>5</v>
      </c>
      <c r="I55" s="1">
        <v>3</v>
      </c>
      <c r="J55" s="26">
        <v>3</v>
      </c>
      <c r="K55" s="27">
        <f t="shared" si="2"/>
        <v>0</v>
      </c>
      <c r="L55" s="27"/>
      <c r="M55" s="27"/>
      <c r="N55" s="1">
        <v>2</v>
      </c>
      <c r="O55" s="27">
        <f t="shared" si="1"/>
        <v>0</v>
      </c>
      <c r="P55" s="27"/>
      <c r="Q55" s="27"/>
      <c r="R55" s="20"/>
    </row>
    <row r="56" spans="1:38" ht="15" customHeight="1">
      <c r="A56" s="24"/>
      <c r="B56" s="23" t="s">
        <v>54</v>
      </c>
      <c r="C56" s="24" t="s">
        <v>18</v>
      </c>
      <c r="D56" s="23"/>
      <c r="E56" s="23" t="s">
        <v>19</v>
      </c>
      <c r="F56" s="23" t="s">
        <v>292</v>
      </c>
      <c r="G56" s="23" t="s">
        <v>122</v>
      </c>
      <c r="H56" s="25">
        <v>2</v>
      </c>
      <c r="I56" s="1"/>
      <c r="J56" s="26"/>
      <c r="K56" s="27">
        <f t="shared" si="2"/>
        <v>0</v>
      </c>
      <c r="L56" s="27"/>
      <c r="M56" s="27"/>
      <c r="N56" s="1">
        <v>1</v>
      </c>
      <c r="O56" s="27">
        <f t="shared" si="1"/>
        <v>0</v>
      </c>
      <c r="P56" s="27"/>
      <c r="Q56" s="27"/>
      <c r="R56" s="20"/>
    </row>
    <row r="57" spans="1:38" s="7" customFormat="1" ht="15" customHeight="1">
      <c r="A57" s="24">
        <v>26</v>
      </c>
      <c r="B57" s="23" t="s">
        <v>55</v>
      </c>
      <c r="C57" s="24" t="s">
        <v>18</v>
      </c>
      <c r="D57" s="23"/>
      <c r="E57" s="23" t="s">
        <v>19</v>
      </c>
      <c r="F57" s="23" t="s">
        <v>292</v>
      </c>
      <c r="G57" s="23" t="s">
        <v>142</v>
      </c>
      <c r="H57" s="25">
        <v>2</v>
      </c>
      <c r="I57" s="1"/>
      <c r="J57" s="26"/>
      <c r="K57" s="27">
        <f t="shared" si="2"/>
        <v>0</v>
      </c>
      <c r="L57" s="27"/>
      <c r="M57" s="27"/>
      <c r="N57" s="1">
        <v>1</v>
      </c>
      <c r="O57" s="27">
        <f t="shared" si="1"/>
        <v>0</v>
      </c>
      <c r="P57" s="27"/>
      <c r="Q57" s="27"/>
      <c r="R57" s="20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 spans="1:38" ht="15.6" customHeight="1">
      <c r="A58" s="24"/>
      <c r="B58" s="23" t="s">
        <v>55</v>
      </c>
      <c r="C58" s="24" t="s">
        <v>18</v>
      </c>
      <c r="D58" s="23"/>
      <c r="E58" s="23" t="s">
        <v>19</v>
      </c>
      <c r="F58" s="23" t="s">
        <v>292</v>
      </c>
      <c r="G58" s="23" t="s">
        <v>122</v>
      </c>
      <c r="H58" s="25">
        <v>2</v>
      </c>
      <c r="I58" s="1"/>
      <c r="J58" s="26"/>
      <c r="K58" s="27">
        <f t="shared" si="2"/>
        <v>0</v>
      </c>
      <c r="L58" s="27"/>
      <c r="M58" s="27"/>
      <c r="N58" s="1">
        <v>1</v>
      </c>
      <c r="O58" s="27">
        <f t="shared" si="1"/>
        <v>0</v>
      </c>
      <c r="P58" s="27"/>
      <c r="Q58" s="27"/>
      <c r="R58" s="20"/>
    </row>
    <row r="59" spans="1:38" s="7" customFormat="1" ht="15" customHeight="1">
      <c r="A59" s="24">
        <v>27</v>
      </c>
      <c r="B59" s="23" t="s">
        <v>56</v>
      </c>
      <c r="C59" s="24" t="s">
        <v>52</v>
      </c>
      <c r="D59" s="23" t="s">
        <v>57</v>
      </c>
      <c r="E59" s="23" t="s">
        <v>19</v>
      </c>
      <c r="F59" s="23" t="s">
        <v>120</v>
      </c>
      <c r="G59" s="23" t="s">
        <v>142</v>
      </c>
      <c r="H59" s="25">
        <v>0</v>
      </c>
      <c r="I59" s="1"/>
      <c r="J59" s="26"/>
      <c r="K59" s="27">
        <f t="shared" si="2"/>
        <v>0</v>
      </c>
      <c r="L59" s="27"/>
      <c r="M59" s="27"/>
      <c r="N59" s="1"/>
      <c r="O59" s="27">
        <f t="shared" si="1"/>
        <v>0</v>
      </c>
      <c r="P59" s="27"/>
      <c r="Q59" s="27"/>
      <c r="R59" s="20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 spans="1:38" s="7" customFormat="1" ht="15" customHeight="1">
      <c r="A60" s="24">
        <v>28</v>
      </c>
      <c r="B60" s="23" t="s">
        <v>58</v>
      </c>
      <c r="C60" s="24" t="s">
        <v>18</v>
      </c>
      <c r="D60" s="23"/>
      <c r="E60" s="23" t="s">
        <v>19</v>
      </c>
      <c r="F60" s="23" t="s">
        <v>292</v>
      </c>
      <c r="G60" s="23" t="s">
        <v>142</v>
      </c>
      <c r="H60" s="25">
        <v>2</v>
      </c>
      <c r="I60" s="1"/>
      <c r="J60" s="26"/>
      <c r="K60" s="27">
        <f t="shared" si="2"/>
        <v>0</v>
      </c>
      <c r="L60" s="27"/>
      <c r="M60" s="27"/>
      <c r="N60" s="1"/>
      <c r="O60" s="27">
        <f t="shared" si="1"/>
        <v>0</v>
      </c>
      <c r="P60" s="27"/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s="7" customFormat="1" ht="15" customHeight="1">
      <c r="A61" s="24"/>
      <c r="B61" s="23" t="s">
        <v>58</v>
      </c>
      <c r="C61" s="24" t="s">
        <v>18</v>
      </c>
      <c r="D61" s="23"/>
      <c r="E61" s="23" t="s">
        <v>19</v>
      </c>
      <c r="F61" s="23" t="s">
        <v>292</v>
      </c>
      <c r="G61" s="23" t="s">
        <v>122</v>
      </c>
      <c r="H61" s="25">
        <v>0</v>
      </c>
      <c r="I61" s="1"/>
      <c r="J61" s="26"/>
      <c r="K61" s="27">
        <f t="shared" si="2"/>
        <v>0</v>
      </c>
      <c r="L61" s="27"/>
      <c r="M61" s="27"/>
      <c r="N61" s="1">
        <v>3</v>
      </c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29</v>
      </c>
      <c r="B62" s="23" t="s">
        <v>59</v>
      </c>
      <c r="C62" s="24" t="s">
        <v>18</v>
      </c>
      <c r="D62" s="23"/>
      <c r="E62" s="23" t="s">
        <v>60</v>
      </c>
      <c r="F62" s="23" t="s">
        <v>292</v>
      </c>
      <c r="G62" s="23" t="s">
        <v>142</v>
      </c>
      <c r="H62" s="25">
        <v>2</v>
      </c>
      <c r="I62" s="1"/>
      <c r="J62" s="26"/>
      <c r="K62" s="27">
        <f t="shared" si="2"/>
        <v>0</v>
      </c>
      <c r="L62" s="27"/>
      <c r="M62" s="27"/>
      <c r="N62" s="1"/>
      <c r="O62" s="27">
        <f t="shared" si="1"/>
        <v>0</v>
      </c>
      <c r="P62" s="27"/>
      <c r="Q62" s="27"/>
      <c r="R62" s="20"/>
    </row>
    <row r="63" spans="1:38" ht="15" customHeight="1">
      <c r="A63" s="24"/>
      <c r="B63" s="23" t="s">
        <v>139</v>
      </c>
      <c r="C63" s="24" t="s">
        <v>18</v>
      </c>
      <c r="D63" s="23"/>
      <c r="E63" s="23" t="s">
        <v>60</v>
      </c>
      <c r="F63" s="23" t="s">
        <v>292</v>
      </c>
      <c r="G63" s="23" t="s">
        <v>136</v>
      </c>
      <c r="H63" s="25">
        <v>2</v>
      </c>
      <c r="I63" s="2"/>
      <c r="J63" s="26"/>
      <c r="K63" s="27">
        <f t="shared" si="2"/>
        <v>0</v>
      </c>
      <c r="L63" s="27"/>
      <c r="M63" s="27"/>
      <c r="N63" s="2"/>
      <c r="O63" s="27">
        <f t="shared" si="1"/>
        <v>0</v>
      </c>
      <c r="P63" s="27"/>
      <c r="Q63" s="27"/>
      <c r="R63" s="20"/>
    </row>
    <row r="64" spans="1:38" s="7" customFormat="1" ht="15" customHeight="1">
      <c r="A64" s="24">
        <v>30</v>
      </c>
      <c r="B64" s="23" t="s">
        <v>61</v>
      </c>
      <c r="C64" s="24" t="s">
        <v>18</v>
      </c>
      <c r="D64" s="23"/>
      <c r="E64" s="23" t="s">
        <v>41</v>
      </c>
      <c r="F64" s="23" t="s">
        <v>268</v>
      </c>
      <c r="G64" s="23" t="s">
        <v>142</v>
      </c>
      <c r="H64" s="25">
        <v>4</v>
      </c>
      <c r="I64" s="1"/>
      <c r="J64" s="26"/>
      <c r="K64" s="27">
        <f t="shared" si="2"/>
        <v>0</v>
      </c>
      <c r="L64" s="27"/>
      <c r="M64" s="27"/>
      <c r="N64" s="1">
        <v>7</v>
      </c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" customHeight="1">
      <c r="A65" s="24"/>
      <c r="B65" s="23" t="s">
        <v>61</v>
      </c>
      <c r="C65" s="24" t="s">
        <v>18</v>
      </c>
      <c r="D65" s="23"/>
      <c r="E65" s="23" t="s">
        <v>41</v>
      </c>
      <c r="F65" s="23" t="s">
        <v>292</v>
      </c>
      <c r="G65" s="23" t="s">
        <v>136</v>
      </c>
      <c r="H65" s="25">
        <v>0</v>
      </c>
      <c r="I65" s="2"/>
      <c r="J65" s="26"/>
      <c r="K65" s="27">
        <f t="shared" si="2"/>
        <v>0</v>
      </c>
      <c r="L65" s="27"/>
      <c r="M65" s="27"/>
      <c r="N65" s="2"/>
      <c r="O65" s="27">
        <f t="shared" si="1"/>
        <v>0</v>
      </c>
      <c r="P65" s="27"/>
      <c r="Q65" s="27"/>
      <c r="R65" s="20"/>
    </row>
    <row r="66" spans="1:38" ht="15" customHeight="1">
      <c r="A66" s="24">
        <v>31</v>
      </c>
      <c r="B66" s="23" t="s">
        <v>62</v>
      </c>
      <c r="C66" s="24" t="s">
        <v>18</v>
      </c>
      <c r="D66" s="23"/>
      <c r="E66" s="23" t="s">
        <v>19</v>
      </c>
      <c r="F66" s="23" t="s">
        <v>292</v>
      </c>
      <c r="G66" s="23" t="s">
        <v>142</v>
      </c>
      <c r="H66" s="25">
        <v>5</v>
      </c>
      <c r="I66" s="1"/>
      <c r="J66" s="26"/>
      <c r="K66" s="27">
        <f t="shared" si="2"/>
        <v>0</v>
      </c>
      <c r="L66" s="27"/>
      <c r="M66" s="27"/>
      <c r="N66" s="1"/>
      <c r="O66" s="27">
        <f t="shared" si="1"/>
        <v>0</v>
      </c>
      <c r="P66" s="27"/>
      <c r="Q66" s="27"/>
      <c r="R66" s="20"/>
    </row>
    <row r="67" spans="1:38" ht="15" customHeight="1">
      <c r="A67" s="24"/>
      <c r="B67" s="23" t="s">
        <v>62</v>
      </c>
      <c r="C67" s="24" t="s">
        <v>18</v>
      </c>
      <c r="D67" s="23"/>
      <c r="E67" s="23" t="s">
        <v>19</v>
      </c>
      <c r="F67" s="23" t="s">
        <v>277</v>
      </c>
      <c r="G67" s="23" t="s">
        <v>124</v>
      </c>
      <c r="H67" s="25">
        <v>0</v>
      </c>
      <c r="I67" s="1"/>
      <c r="J67" s="26"/>
      <c r="K67" s="27">
        <f t="shared" si="2"/>
        <v>0</v>
      </c>
      <c r="L67" s="27"/>
      <c r="M67" s="27"/>
      <c r="N67" s="1"/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62</v>
      </c>
      <c r="C68" s="24" t="s">
        <v>18</v>
      </c>
      <c r="D68" s="23"/>
      <c r="E68" s="23" t="s">
        <v>19</v>
      </c>
      <c r="F68" s="23" t="s">
        <v>120</v>
      </c>
      <c r="G68" s="23" t="s">
        <v>122</v>
      </c>
      <c r="H68" s="25">
        <v>1</v>
      </c>
      <c r="I68" s="1"/>
      <c r="J68" s="26"/>
      <c r="K68" s="27">
        <f t="shared" si="2"/>
        <v>0</v>
      </c>
      <c r="L68" s="27"/>
      <c r="M68" s="27"/>
      <c r="N68" s="1">
        <v>2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62</v>
      </c>
      <c r="C69" s="24" t="s">
        <v>18</v>
      </c>
      <c r="D69" s="23"/>
      <c r="E69" s="23" t="s">
        <v>19</v>
      </c>
      <c r="F69" s="23" t="s">
        <v>292</v>
      </c>
      <c r="G69" s="23" t="s">
        <v>210</v>
      </c>
      <c r="H69" s="25">
        <v>0</v>
      </c>
      <c r="I69" s="1"/>
      <c r="J69" s="26"/>
      <c r="K69" s="27">
        <f t="shared" si="2"/>
        <v>0</v>
      </c>
      <c r="L69" s="27"/>
      <c r="M69" s="27"/>
      <c r="N69" s="1">
        <v>1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32</v>
      </c>
      <c r="B70" s="23" t="s">
        <v>63</v>
      </c>
      <c r="C70" s="24" t="s">
        <v>18</v>
      </c>
      <c r="D70" s="23"/>
      <c r="E70" s="23" t="s">
        <v>41</v>
      </c>
      <c r="F70" s="23" t="s">
        <v>120</v>
      </c>
      <c r="G70" s="23" t="s">
        <v>142</v>
      </c>
      <c r="H70" s="25">
        <v>4</v>
      </c>
      <c r="I70" s="1"/>
      <c r="J70" s="26"/>
      <c r="K70" s="27">
        <f t="shared" si="2"/>
        <v>0</v>
      </c>
      <c r="L70" s="27"/>
      <c r="M70" s="27"/>
      <c r="N70" s="1">
        <v>8</v>
      </c>
      <c r="O70" s="27">
        <f t="shared" si="1"/>
        <v>0</v>
      </c>
      <c r="P70" s="27"/>
      <c r="Q70" s="27"/>
      <c r="R70" s="20"/>
    </row>
    <row r="71" spans="1:38" ht="15" customHeight="1">
      <c r="A71" s="24"/>
      <c r="B71" s="23" t="s">
        <v>63</v>
      </c>
      <c r="C71" s="24" t="s">
        <v>18</v>
      </c>
      <c r="D71" s="23"/>
      <c r="E71" s="23" t="s">
        <v>41</v>
      </c>
      <c r="F71" s="23" t="s">
        <v>120</v>
      </c>
      <c r="G71" s="23" t="s">
        <v>136</v>
      </c>
      <c r="H71" s="25">
        <v>0</v>
      </c>
      <c r="I71" s="2"/>
      <c r="J71" s="26"/>
      <c r="K71" s="27">
        <f t="shared" si="2"/>
        <v>0</v>
      </c>
      <c r="L71" s="27"/>
      <c r="M71" s="27"/>
      <c r="N71" s="2"/>
      <c r="O71" s="27">
        <f t="shared" si="1"/>
        <v>0</v>
      </c>
      <c r="P71" s="27"/>
      <c r="Q71" s="27"/>
      <c r="R71" s="20"/>
    </row>
    <row r="72" spans="1:38" s="17" customFormat="1" ht="15" customHeight="1">
      <c r="A72" s="24">
        <v>33</v>
      </c>
      <c r="B72" s="23" t="s">
        <v>64</v>
      </c>
      <c r="C72" s="24" t="s">
        <v>18</v>
      </c>
      <c r="D72" s="23"/>
      <c r="E72" s="23" t="s">
        <v>41</v>
      </c>
      <c r="F72" s="23" t="s">
        <v>123</v>
      </c>
      <c r="G72" s="23" t="s">
        <v>142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</row>
    <row r="73" spans="1:38" ht="15" customHeight="1">
      <c r="A73" s="24"/>
      <c r="B73" s="23" t="s">
        <v>64</v>
      </c>
      <c r="C73" s="24" t="s">
        <v>18</v>
      </c>
      <c r="D73" s="23"/>
      <c r="E73" s="23" t="s">
        <v>41</v>
      </c>
      <c r="F73" s="23" t="s">
        <v>123</v>
      </c>
      <c r="G73" s="23" t="s">
        <v>122</v>
      </c>
      <c r="H73" s="25">
        <v>0</v>
      </c>
      <c r="I73" s="1"/>
      <c r="J73" s="26"/>
      <c r="K73" s="27">
        <f t="shared" si="2"/>
        <v>0</v>
      </c>
      <c r="L73" s="27"/>
      <c r="M73" s="27"/>
      <c r="N73" s="1"/>
      <c r="O73" s="27">
        <f t="shared" si="1"/>
        <v>0</v>
      </c>
      <c r="P73" s="27"/>
      <c r="Q73" s="27"/>
      <c r="R73" s="20"/>
    </row>
    <row r="74" spans="1:38" s="17" customFormat="1" ht="15" customHeight="1">
      <c r="A74" s="24">
        <v>34</v>
      </c>
      <c r="B74" s="23" t="s">
        <v>238</v>
      </c>
      <c r="C74" s="24" t="s">
        <v>18</v>
      </c>
      <c r="D74" s="23"/>
      <c r="E74" s="23" t="s">
        <v>41</v>
      </c>
      <c r="F74" s="23" t="s">
        <v>123</v>
      </c>
      <c r="G74" s="23" t="s">
        <v>142</v>
      </c>
      <c r="H74" s="25">
        <v>6</v>
      </c>
      <c r="I74" s="1"/>
      <c r="J74" s="26"/>
      <c r="K74" s="27">
        <f t="shared" si="2"/>
        <v>0</v>
      </c>
      <c r="L74" s="27"/>
      <c r="M74" s="27"/>
      <c r="N74" s="1"/>
      <c r="O74" s="27">
        <f t="shared" si="1"/>
        <v>0</v>
      </c>
      <c r="P74" s="27"/>
      <c r="Q74" s="27"/>
      <c r="R74" s="20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</row>
    <row r="75" spans="1:38" s="7" customFormat="1" ht="15" customHeight="1">
      <c r="A75" s="24">
        <v>35</v>
      </c>
      <c r="B75" s="23" t="s">
        <v>65</v>
      </c>
      <c r="C75" s="24" t="s">
        <v>18</v>
      </c>
      <c r="D75" s="23"/>
      <c r="E75" s="23" t="s">
        <v>66</v>
      </c>
      <c r="F75" s="23" t="s">
        <v>295</v>
      </c>
      <c r="G75" s="23" t="s">
        <v>142</v>
      </c>
      <c r="H75" s="25">
        <v>2</v>
      </c>
      <c r="I75" s="1"/>
      <c r="J75" s="26"/>
      <c r="K75" s="27">
        <f t="shared" si="2"/>
        <v>0</v>
      </c>
      <c r="L75" s="27"/>
      <c r="M75" s="27"/>
      <c r="N75" s="1"/>
      <c r="O75" s="27">
        <f t="shared" si="1"/>
        <v>0</v>
      </c>
      <c r="P75" s="27"/>
      <c r="Q75" s="27"/>
      <c r="R75" s="20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 spans="1:38" ht="15" customHeight="1">
      <c r="A76" s="24"/>
      <c r="B76" s="23" t="s">
        <v>65</v>
      </c>
      <c r="C76" s="24" t="s">
        <v>18</v>
      </c>
      <c r="D76" s="23"/>
      <c r="E76" s="23" t="s">
        <v>66</v>
      </c>
      <c r="F76" s="23" t="s">
        <v>123</v>
      </c>
      <c r="G76" s="23" t="s">
        <v>136</v>
      </c>
      <c r="H76" s="25">
        <v>0</v>
      </c>
      <c r="I76" s="2"/>
      <c r="J76" s="26"/>
      <c r="K76" s="27">
        <f t="shared" si="2"/>
        <v>0</v>
      </c>
      <c r="L76" s="27"/>
      <c r="M76" s="27"/>
      <c r="N76" s="2"/>
      <c r="O76" s="27">
        <f t="shared" si="1"/>
        <v>0</v>
      </c>
      <c r="P76" s="27"/>
      <c r="Q76" s="27"/>
      <c r="R76" s="20"/>
    </row>
    <row r="77" spans="1:38" s="7" customFormat="1" ht="15" customHeight="1">
      <c r="A77" s="24">
        <v>36</v>
      </c>
      <c r="B77" s="23" t="s">
        <v>67</v>
      </c>
      <c r="C77" s="24" t="s">
        <v>18</v>
      </c>
      <c r="D77" s="23"/>
      <c r="E77" s="23" t="s">
        <v>19</v>
      </c>
      <c r="F77" s="23" t="s">
        <v>292</v>
      </c>
      <c r="G77" s="23" t="s">
        <v>142</v>
      </c>
      <c r="H77" s="25">
        <v>6</v>
      </c>
      <c r="I77" s="1">
        <v>5</v>
      </c>
      <c r="J77" s="26">
        <v>5</v>
      </c>
      <c r="K77" s="27">
        <f t="shared" ref="K77:K147" si="3">L77+M77</f>
        <v>0</v>
      </c>
      <c r="L77" s="27"/>
      <c r="M77" s="27"/>
      <c r="N77" s="1">
        <v>6</v>
      </c>
      <c r="O77" s="27">
        <f t="shared" si="1"/>
        <v>0</v>
      </c>
      <c r="P77" s="27"/>
      <c r="Q77" s="27"/>
      <c r="R77" s="20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 spans="1:38" s="28" customFormat="1" ht="15" customHeight="1">
      <c r="A78" s="24"/>
      <c r="B78" s="23" t="s">
        <v>67</v>
      </c>
      <c r="C78" s="24" t="s">
        <v>18</v>
      </c>
      <c r="D78" s="23"/>
      <c r="E78" s="23" t="s">
        <v>104</v>
      </c>
      <c r="F78" s="23" t="s">
        <v>123</v>
      </c>
      <c r="G78" s="23" t="s">
        <v>122</v>
      </c>
      <c r="H78" s="25">
        <v>0</v>
      </c>
      <c r="I78" s="1"/>
      <c r="J78" s="26"/>
      <c r="K78" s="27">
        <f t="shared" si="3"/>
        <v>0</v>
      </c>
      <c r="L78" s="27"/>
      <c r="M78" s="27"/>
      <c r="N78" s="1"/>
      <c r="O78" s="27">
        <f t="shared" si="1"/>
        <v>0</v>
      </c>
      <c r="P78" s="27"/>
      <c r="Q78" s="27"/>
      <c r="R78" s="20"/>
    </row>
    <row r="79" spans="1:38" ht="15" customHeight="1">
      <c r="A79" s="24">
        <v>37</v>
      </c>
      <c r="B79" s="23" t="s">
        <v>68</v>
      </c>
      <c r="C79" s="24" t="s">
        <v>18</v>
      </c>
      <c r="D79" s="24"/>
      <c r="E79" s="23" t="s">
        <v>50</v>
      </c>
      <c r="F79" s="23" t="s">
        <v>268</v>
      </c>
      <c r="G79" s="23" t="s">
        <v>142</v>
      </c>
      <c r="H79" s="25">
        <v>2</v>
      </c>
      <c r="I79" s="1"/>
      <c r="J79" s="26"/>
      <c r="K79" s="27">
        <f t="shared" si="3"/>
        <v>0</v>
      </c>
      <c r="L79" s="27"/>
      <c r="M79" s="27"/>
      <c r="N79" s="1"/>
      <c r="O79" s="27">
        <f t="shared" si="1"/>
        <v>0</v>
      </c>
      <c r="P79" s="27"/>
      <c r="Q79" s="27"/>
      <c r="R79" s="20"/>
    </row>
    <row r="80" spans="1:38" ht="15" customHeight="1">
      <c r="A80" s="24"/>
      <c r="B80" s="23" t="s">
        <v>68</v>
      </c>
      <c r="C80" s="24" t="s">
        <v>18</v>
      </c>
      <c r="D80" s="23"/>
      <c r="E80" s="23" t="s">
        <v>50</v>
      </c>
      <c r="F80" s="23" t="s">
        <v>123</v>
      </c>
      <c r="G80" s="23" t="s">
        <v>136</v>
      </c>
      <c r="H80" s="25">
        <v>0</v>
      </c>
      <c r="I80" s="2"/>
      <c r="J80" s="26"/>
      <c r="K80" s="27">
        <f t="shared" si="3"/>
        <v>0</v>
      </c>
      <c r="L80" s="27"/>
      <c r="M80" s="27"/>
      <c r="N80" s="2"/>
      <c r="O80" s="27">
        <f t="shared" si="1"/>
        <v>0</v>
      </c>
      <c r="P80" s="27"/>
      <c r="Q80" s="27"/>
      <c r="R80" s="20"/>
    </row>
    <row r="81" spans="1:38" ht="15" customHeight="1">
      <c r="A81" s="24"/>
      <c r="B81" s="23" t="s">
        <v>68</v>
      </c>
      <c r="C81" s="24" t="s">
        <v>18</v>
      </c>
      <c r="D81" s="23"/>
      <c r="E81" s="23" t="s">
        <v>50</v>
      </c>
      <c r="F81" s="23" t="s">
        <v>292</v>
      </c>
      <c r="G81" s="23" t="s">
        <v>124</v>
      </c>
      <c r="H81" s="25">
        <v>0</v>
      </c>
      <c r="I81" s="2"/>
      <c r="J81" s="26"/>
      <c r="K81" s="27">
        <f t="shared" si="3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ht="15" customHeight="1">
      <c r="A82" s="24">
        <v>38</v>
      </c>
      <c r="B82" s="23" t="s">
        <v>127</v>
      </c>
      <c r="C82" s="24" t="s">
        <v>18</v>
      </c>
      <c r="D82" s="23"/>
      <c r="E82" s="23" t="s">
        <v>41</v>
      </c>
      <c r="F82" s="23" t="s">
        <v>120</v>
      </c>
      <c r="G82" s="23" t="s">
        <v>142</v>
      </c>
      <c r="H82" s="25">
        <v>0</v>
      </c>
      <c r="I82" s="2"/>
      <c r="J82" s="26"/>
      <c r="K82" s="27">
        <f t="shared" si="3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ht="15" customHeight="1">
      <c r="A83" s="24"/>
      <c r="B83" s="23" t="s">
        <v>127</v>
      </c>
      <c r="C83" s="24" t="s">
        <v>18</v>
      </c>
      <c r="D83" s="23"/>
      <c r="E83" s="23" t="s">
        <v>50</v>
      </c>
      <c r="F83" s="23" t="s">
        <v>295</v>
      </c>
      <c r="G83" s="23" t="s">
        <v>136</v>
      </c>
      <c r="H83" s="25">
        <v>3</v>
      </c>
      <c r="I83" s="2"/>
      <c r="J83" s="26"/>
      <c r="K83" s="27">
        <f t="shared" si="3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ht="15" customHeight="1">
      <c r="A84" s="24"/>
      <c r="B84" s="23" t="s">
        <v>127</v>
      </c>
      <c r="C84" s="24" t="s">
        <v>18</v>
      </c>
      <c r="D84" s="23"/>
      <c r="E84" s="23" t="s">
        <v>50</v>
      </c>
      <c r="F84" s="23" t="s">
        <v>294</v>
      </c>
      <c r="G84" s="23" t="s">
        <v>124</v>
      </c>
      <c r="H84" s="25">
        <v>1</v>
      </c>
      <c r="I84" s="2"/>
      <c r="J84" s="26"/>
      <c r="K84" s="27">
        <f t="shared" si="3"/>
        <v>0</v>
      </c>
      <c r="L84" s="27"/>
      <c r="M84" s="27"/>
      <c r="N84" s="2"/>
      <c r="O84" s="27">
        <f t="shared" ref="O84:O161" si="4">P84+Q84</f>
        <v>0</v>
      </c>
      <c r="P84" s="27"/>
      <c r="Q84" s="27"/>
      <c r="R84" s="20"/>
    </row>
    <row r="85" spans="1:38" s="7" customFormat="1" ht="15" customHeight="1">
      <c r="A85" s="74">
        <v>39</v>
      </c>
      <c r="B85" s="77" t="s">
        <v>69</v>
      </c>
      <c r="C85" s="74" t="s">
        <v>18</v>
      </c>
      <c r="D85" s="77"/>
      <c r="E85" s="77" t="s">
        <v>19</v>
      </c>
      <c r="F85" s="77" t="s">
        <v>292</v>
      </c>
      <c r="G85" s="77" t="s">
        <v>142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4"/>
        <v>0</v>
      </c>
      <c r="P85" s="27"/>
      <c r="Q85" s="27"/>
      <c r="R85" s="20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 spans="1:38" s="7" customFormat="1" ht="15.75" customHeight="1">
      <c r="A86" s="74">
        <v>40</v>
      </c>
      <c r="B86" s="77" t="s">
        <v>70</v>
      </c>
      <c r="C86" s="74" t="s">
        <v>18</v>
      </c>
      <c r="D86" s="77"/>
      <c r="E86" s="77" t="s">
        <v>19</v>
      </c>
      <c r="F86" s="77" t="s">
        <v>292</v>
      </c>
      <c r="G86" s="77" t="s">
        <v>142</v>
      </c>
      <c r="H86" s="25">
        <v>2</v>
      </c>
      <c r="I86" s="1">
        <v>1</v>
      </c>
      <c r="J86" s="26">
        <v>1</v>
      </c>
      <c r="K86" s="27">
        <f t="shared" si="3"/>
        <v>0</v>
      </c>
      <c r="L86" s="27"/>
      <c r="M86" s="27"/>
      <c r="N86" s="1">
        <v>3</v>
      </c>
      <c r="O86" s="27">
        <f t="shared" si="4"/>
        <v>0</v>
      </c>
      <c r="P86" s="27"/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ht="15" customHeight="1">
      <c r="A87" s="74">
        <v>41</v>
      </c>
      <c r="B87" s="77" t="s">
        <v>71</v>
      </c>
      <c r="C87" s="74" t="s">
        <v>18</v>
      </c>
      <c r="D87" s="77"/>
      <c r="E87" s="77" t="s">
        <v>32</v>
      </c>
      <c r="F87" s="77" t="s">
        <v>292</v>
      </c>
      <c r="G87" s="77" t="s">
        <v>121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4"/>
        <v>0</v>
      </c>
      <c r="P87" s="27"/>
      <c r="Q87" s="27"/>
      <c r="R87" s="20"/>
    </row>
    <row r="88" spans="1:38" ht="15" customHeight="1">
      <c r="A88" s="24"/>
      <c r="B88" s="23" t="s">
        <v>71</v>
      </c>
      <c r="C88" s="24" t="s">
        <v>18</v>
      </c>
      <c r="D88" s="23"/>
      <c r="E88" s="23" t="s">
        <v>32</v>
      </c>
      <c r="F88" s="23" t="s">
        <v>292</v>
      </c>
      <c r="G88" s="23" t="s">
        <v>122</v>
      </c>
      <c r="H88" s="25">
        <v>0</v>
      </c>
      <c r="I88" s="1"/>
      <c r="J88" s="26"/>
      <c r="K88" s="27">
        <f t="shared" si="3"/>
        <v>0</v>
      </c>
      <c r="L88" s="27"/>
      <c r="M88" s="27"/>
      <c r="N88" s="1"/>
      <c r="O88" s="27">
        <f t="shared" si="4"/>
        <v>0</v>
      </c>
      <c r="P88" s="27"/>
      <c r="Q88" s="27"/>
      <c r="R88" s="20"/>
    </row>
    <row r="89" spans="1:38" ht="15" customHeight="1">
      <c r="A89" s="24">
        <v>42</v>
      </c>
      <c r="B89" s="23" t="s">
        <v>72</v>
      </c>
      <c r="C89" s="24" t="s">
        <v>18</v>
      </c>
      <c r="D89" s="23"/>
      <c r="E89" s="23" t="s">
        <v>19</v>
      </c>
      <c r="F89" s="23" t="s">
        <v>268</v>
      </c>
      <c r="G89" s="23" t="s">
        <v>142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20"/>
    </row>
    <row r="90" spans="1:38" ht="15" customHeight="1">
      <c r="A90" s="24"/>
      <c r="B90" s="23" t="s">
        <v>72</v>
      </c>
      <c r="C90" s="24" t="s">
        <v>18</v>
      </c>
      <c r="D90" s="23"/>
      <c r="E90" s="23" t="s">
        <v>19</v>
      </c>
      <c r="F90" s="23" t="s">
        <v>292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43</v>
      </c>
      <c r="B91" s="23" t="s">
        <v>73</v>
      </c>
      <c r="C91" s="24" t="s">
        <v>18</v>
      </c>
      <c r="D91" s="23"/>
      <c r="E91" s="23" t="s">
        <v>19</v>
      </c>
      <c r="F91" s="23"/>
      <c r="G91" s="23" t="s">
        <v>142</v>
      </c>
      <c r="H91" s="25">
        <v>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7" customFormat="1" ht="15" customHeight="1">
      <c r="A92" s="24">
        <v>44</v>
      </c>
      <c r="B92" s="23" t="s">
        <v>74</v>
      </c>
      <c r="C92" s="24" t="s">
        <v>18</v>
      </c>
      <c r="D92" s="23"/>
      <c r="E92" s="23" t="s">
        <v>19</v>
      </c>
      <c r="F92" s="23" t="s">
        <v>120</v>
      </c>
      <c r="G92" s="23" t="s">
        <v>142</v>
      </c>
      <c r="H92" s="25">
        <v>2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ht="15" customHeight="1">
      <c r="A93" s="24">
        <v>45</v>
      </c>
      <c r="B93" s="23" t="s">
        <v>75</v>
      </c>
      <c r="C93" s="24" t="s">
        <v>18</v>
      </c>
      <c r="D93" s="23"/>
      <c r="E93" s="23" t="s">
        <v>76</v>
      </c>
      <c r="F93" s="23" t="s">
        <v>120</v>
      </c>
      <c r="G93" s="23" t="s">
        <v>142</v>
      </c>
      <c r="H93" s="25">
        <v>5</v>
      </c>
      <c r="I93" s="1"/>
      <c r="J93" s="26"/>
      <c r="K93" s="27">
        <f t="shared" si="3"/>
        <v>0</v>
      </c>
      <c r="L93" s="27"/>
      <c r="M93" s="27"/>
      <c r="N93" s="1">
        <v>7</v>
      </c>
      <c r="O93" s="27">
        <f>P93+Q93</f>
        <v>0</v>
      </c>
      <c r="P93" s="27"/>
      <c r="Q93" s="27"/>
      <c r="R93" s="20"/>
    </row>
    <row r="94" spans="1:38" ht="13.15" customHeight="1">
      <c r="A94" s="24"/>
      <c r="B94" s="23" t="s">
        <v>75</v>
      </c>
      <c r="C94" s="24" t="s">
        <v>18</v>
      </c>
      <c r="D94" s="23"/>
      <c r="E94" s="23" t="s">
        <v>76</v>
      </c>
      <c r="F94" s="23" t="s">
        <v>120</v>
      </c>
      <c r="G94" s="23" t="s">
        <v>131</v>
      </c>
      <c r="H94" s="25">
        <v>0</v>
      </c>
      <c r="I94" s="1"/>
      <c r="J94" s="26"/>
      <c r="K94" s="27">
        <f t="shared" si="3"/>
        <v>0</v>
      </c>
      <c r="L94" s="27"/>
      <c r="M94" s="27"/>
      <c r="N94" s="1">
        <v>5</v>
      </c>
      <c r="O94" s="27">
        <v>0</v>
      </c>
      <c r="P94" s="27"/>
      <c r="Q94" s="27"/>
      <c r="R94" s="20"/>
    </row>
    <row r="95" spans="1:38" ht="15" customHeight="1">
      <c r="A95" s="24"/>
      <c r="B95" s="23" t="s">
        <v>140</v>
      </c>
      <c r="C95" s="24" t="s">
        <v>18</v>
      </c>
      <c r="D95" s="23"/>
      <c r="E95" s="23" t="s">
        <v>76</v>
      </c>
      <c r="F95" s="23" t="s">
        <v>120</v>
      </c>
      <c r="G95" s="23" t="s">
        <v>136</v>
      </c>
      <c r="H95" s="25">
        <v>0</v>
      </c>
      <c r="I95" s="2"/>
      <c r="J95" s="26"/>
      <c r="K95" s="27">
        <f t="shared" si="3"/>
        <v>0</v>
      </c>
      <c r="L95" s="27"/>
      <c r="M95" s="27"/>
      <c r="N95" s="2"/>
      <c r="O95" s="27">
        <f>P95+Q95</f>
        <v>0</v>
      </c>
      <c r="P95" s="27"/>
      <c r="Q95" s="27"/>
      <c r="R95" s="20"/>
    </row>
    <row r="96" spans="1:38" s="17" customFormat="1" ht="15" customHeight="1">
      <c r="A96" s="24">
        <v>46</v>
      </c>
      <c r="B96" s="23" t="s">
        <v>267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2"/>
      <c r="J96" s="26"/>
      <c r="K96" s="27">
        <f t="shared" si="3"/>
        <v>0</v>
      </c>
      <c r="L96" s="27"/>
      <c r="M96" s="27"/>
      <c r="N96" s="2"/>
      <c r="O96" s="27">
        <f>P96+Q96</f>
        <v>0</v>
      </c>
      <c r="P96" s="27"/>
      <c r="Q96" s="27"/>
      <c r="R96" s="20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:38" s="17" customFormat="1" ht="15" customHeight="1">
      <c r="A97" s="24"/>
      <c r="B97" s="23" t="s">
        <v>267</v>
      </c>
      <c r="C97" s="24" t="s">
        <v>18</v>
      </c>
      <c r="D97" s="23"/>
      <c r="E97" s="23" t="s">
        <v>19</v>
      </c>
      <c r="F97" s="23" t="s">
        <v>120</v>
      </c>
      <c r="G97" s="23" t="s">
        <v>131</v>
      </c>
      <c r="H97" s="25">
        <v>1</v>
      </c>
      <c r="I97" s="2"/>
      <c r="J97" s="26"/>
      <c r="K97" s="27">
        <f t="shared" si="3"/>
        <v>0</v>
      </c>
      <c r="L97" s="27"/>
      <c r="M97" s="27"/>
      <c r="N97" s="2"/>
      <c r="O97" s="27"/>
      <c r="P97" s="27"/>
      <c r="Q97" s="27"/>
      <c r="R97" s="20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:38" ht="15" customHeight="1">
      <c r="A98" s="24"/>
      <c r="B98" s="23" t="s">
        <v>267</v>
      </c>
      <c r="C98" s="24" t="s">
        <v>18</v>
      </c>
      <c r="D98" s="23"/>
      <c r="E98" s="23" t="s">
        <v>19</v>
      </c>
      <c r="F98" s="23" t="s">
        <v>123</v>
      </c>
      <c r="G98" s="23" t="s">
        <v>122</v>
      </c>
      <c r="H98" s="25">
        <v>0</v>
      </c>
      <c r="I98" s="2"/>
      <c r="J98" s="26"/>
      <c r="K98" s="27">
        <f t="shared" si="3"/>
        <v>0</v>
      </c>
      <c r="L98" s="27"/>
      <c r="M98" s="27"/>
      <c r="N98" s="2"/>
      <c r="O98" s="27"/>
      <c r="P98" s="27"/>
      <c r="Q98" s="27"/>
      <c r="R98" s="20"/>
    </row>
    <row r="99" spans="1:38" ht="30.75" customHeight="1">
      <c r="A99" s="24">
        <v>47</v>
      </c>
      <c r="B99" s="23" t="s">
        <v>78</v>
      </c>
      <c r="C99" s="24" t="s">
        <v>18</v>
      </c>
      <c r="D99" s="23" t="s">
        <v>276</v>
      </c>
      <c r="E99" s="23" t="s">
        <v>19</v>
      </c>
      <c r="F99" s="23" t="s">
        <v>123</v>
      </c>
      <c r="G99" s="23" t="s">
        <v>142</v>
      </c>
      <c r="H99" s="25">
        <v>9</v>
      </c>
      <c r="I99" s="1">
        <v>2</v>
      </c>
      <c r="J99" s="26">
        <v>2</v>
      </c>
      <c r="K99" s="27">
        <f t="shared" si="3"/>
        <v>0</v>
      </c>
      <c r="L99" s="27"/>
      <c r="M99" s="27"/>
      <c r="N99" s="1">
        <v>1</v>
      </c>
      <c r="O99" s="27">
        <f t="shared" si="4"/>
        <v>0</v>
      </c>
      <c r="P99" s="27"/>
      <c r="Q99" s="27"/>
      <c r="R99" s="20"/>
    </row>
    <row r="100" spans="1:38" s="7" customFormat="1" ht="15" customHeight="1">
      <c r="A100" s="24"/>
      <c r="B100" s="23" t="s">
        <v>78</v>
      </c>
      <c r="C100" s="24" t="s">
        <v>18</v>
      </c>
      <c r="D100" s="23"/>
      <c r="E100" s="23" t="s">
        <v>19</v>
      </c>
      <c r="F100" s="23" t="s">
        <v>120</v>
      </c>
      <c r="G100" s="23" t="s">
        <v>131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ht="15" customHeight="1">
      <c r="A101" s="24"/>
      <c r="B101" s="23" t="s">
        <v>78</v>
      </c>
      <c r="C101" s="24" t="s">
        <v>18</v>
      </c>
      <c r="D101" s="23"/>
      <c r="E101" s="23" t="s">
        <v>19</v>
      </c>
      <c r="F101" s="23" t="s">
        <v>120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ht="15" customHeight="1">
      <c r="A102" s="24">
        <v>48</v>
      </c>
      <c r="B102" s="23" t="s">
        <v>79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49</v>
      </c>
      <c r="B103" s="23" t="s">
        <v>80</v>
      </c>
      <c r="C103" s="24" t="s">
        <v>18</v>
      </c>
      <c r="D103" s="23"/>
      <c r="E103" s="23" t="s">
        <v>19</v>
      </c>
      <c r="F103" s="23" t="s">
        <v>120</v>
      </c>
      <c r="G103" s="23" t="s">
        <v>142</v>
      </c>
      <c r="H103" s="25">
        <v>5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</v>
      </c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/>
      <c r="B104" s="23" t="s">
        <v>80</v>
      </c>
      <c r="C104" s="24" t="s">
        <v>18</v>
      </c>
      <c r="D104" s="23"/>
      <c r="E104" s="23" t="s">
        <v>19</v>
      </c>
      <c r="F104" s="23" t="s">
        <v>120</v>
      </c>
      <c r="G104" s="23" t="s">
        <v>122</v>
      </c>
      <c r="H104" s="25">
        <v>0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50</v>
      </c>
      <c r="B105" s="23" t="s">
        <v>81</v>
      </c>
      <c r="C105" s="24" t="s">
        <v>18</v>
      </c>
      <c r="D105" s="23"/>
      <c r="E105" s="23" t="s">
        <v>19</v>
      </c>
      <c r="F105" s="23" t="s">
        <v>120</v>
      </c>
      <c r="G105" s="23" t="s">
        <v>142</v>
      </c>
      <c r="H105" s="25">
        <v>0</v>
      </c>
      <c r="I105" s="1"/>
      <c r="J105" s="26"/>
      <c r="K105" s="27">
        <f t="shared" si="3"/>
        <v>0</v>
      </c>
      <c r="L105" s="27"/>
      <c r="M105" s="27"/>
      <c r="N105" s="1"/>
      <c r="O105" s="27">
        <f t="shared" si="4"/>
        <v>0</v>
      </c>
      <c r="P105" s="27"/>
      <c r="Q105" s="27"/>
      <c r="R105" s="20"/>
    </row>
    <row r="106" spans="1:38" ht="15" customHeight="1">
      <c r="A106" s="24"/>
      <c r="B106" s="23" t="s">
        <v>81</v>
      </c>
      <c r="C106" s="24" t="s">
        <v>18</v>
      </c>
      <c r="D106" s="23"/>
      <c r="E106" s="23" t="s">
        <v>19</v>
      </c>
      <c r="F106" s="23" t="s">
        <v>292</v>
      </c>
      <c r="G106" s="23" t="s">
        <v>122</v>
      </c>
      <c r="H106" s="25">
        <v>0</v>
      </c>
      <c r="I106" s="1"/>
      <c r="J106" s="26"/>
      <c r="K106" s="27"/>
      <c r="L106" s="27"/>
      <c r="M106" s="27"/>
      <c r="N106" s="1"/>
      <c r="O106" s="27"/>
      <c r="P106" s="27"/>
      <c r="Q106" s="27"/>
      <c r="R106" s="20"/>
    </row>
    <row r="107" spans="1:38" s="7" customFormat="1" ht="15" customHeight="1">
      <c r="A107" s="24">
        <v>51</v>
      </c>
      <c r="B107" s="23" t="s">
        <v>82</v>
      </c>
      <c r="C107" s="24" t="s">
        <v>18</v>
      </c>
      <c r="D107" s="23"/>
      <c r="E107" s="23" t="s">
        <v>19</v>
      </c>
      <c r="F107" s="23" t="s">
        <v>295</v>
      </c>
      <c r="G107" s="23" t="s">
        <v>142</v>
      </c>
      <c r="H107" s="25">
        <v>3</v>
      </c>
      <c r="I107" s="1">
        <v>2</v>
      </c>
      <c r="J107" s="26">
        <v>2</v>
      </c>
      <c r="K107" s="27">
        <f t="shared" si="3"/>
        <v>0</v>
      </c>
      <c r="L107" s="27"/>
      <c r="M107" s="27"/>
      <c r="N107" s="1"/>
      <c r="O107" s="27">
        <f t="shared" si="4"/>
        <v>0</v>
      </c>
      <c r="P107" s="27"/>
      <c r="Q107" s="27"/>
      <c r="R107" s="20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 spans="1:38" s="7" customFormat="1" ht="15" customHeight="1">
      <c r="A108" s="24"/>
      <c r="B108" s="23" t="s">
        <v>82</v>
      </c>
      <c r="C108" s="24" t="s">
        <v>18</v>
      </c>
      <c r="D108" s="23"/>
      <c r="E108" s="23" t="s">
        <v>19</v>
      </c>
      <c r="F108" s="23" t="s">
        <v>295</v>
      </c>
      <c r="G108" s="23" t="s">
        <v>122</v>
      </c>
      <c r="H108" s="25">
        <v>0</v>
      </c>
      <c r="I108" s="1"/>
      <c r="J108" s="26"/>
      <c r="K108" s="27">
        <f t="shared" si="3"/>
        <v>0</v>
      </c>
      <c r="L108" s="27"/>
      <c r="M108" s="27"/>
      <c r="N108" s="1"/>
      <c r="O108" s="27">
        <f t="shared" si="4"/>
        <v>0</v>
      </c>
      <c r="P108" s="27"/>
      <c r="Q108" s="27"/>
      <c r="R108" s="20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 spans="1:38" ht="14.45" customHeight="1">
      <c r="A109" s="24">
        <v>52</v>
      </c>
      <c r="B109" s="23" t="s">
        <v>83</v>
      </c>
      <c r="C109" s="24" t="s">
        <v>30</v>
      </c>
      <c r="D109" s="23" t="s">
        <v>184</v>
      </c>
      <c r="E109" s="23" t="s">
        <v>19</v>
      </c>
      <c r="F109" s="23" t="s">
        <v>123</v>
      </c>
      <c r="G109" s="23" t="s">
        <v>142</v>
      </c>
      <c r="H109" s="25">
        <v>13</v>
      </c>
      <c r="I109" s="1">
        <v>5</v>
      </c>
      <c r="J109" s="26">
        <v>5</v>
      </c>
      <c r="K109" s="27">
        <f t="shared" si="3"/>
        <v>0</v>
      </c>
      <c r="L109" s="27"/>
      <c r="M109" s="27"/>
      <c r="N109" s="1"/>
      <c r="O109" s="27">
        <f t="shared" si="4"/>
        <v>0</v>
      </c>
      <c r="P109" s="27"/>
      <c r="Q109" s="27"/>
      <c r="R109" s="20"/>
    </row>
    <row r="110" spans="1:38" ht="14.45" customHeight="1">
      <c r="A110" s="24">
        <v>53</v>
      </c>
      <c r="B110" s="23" t="s">
        <v>303</v>
      </c>
      <c r="C110" s="24" t="s">
        <v>18</v>
      </c>
      <c r="D110" s="23"/>
      <c r="E110" s="23" t="s">
        <v>304</v>
      </c>
      <c r="F110" s="23"/>
      <c r="G110" s="23" t="s">
        <v>131</v>
      </c>
      <c r="H110" s="25">
        <v>3</v>
      </c>
      <c r="I110" s="1"/>
      <c r="J110" s="26"/>
      <c r="K110" s="27"/>
      <c r="L110" s="27"/>
      <c r="M110" s="27"/>
      <c r="N110" s="1"/>
      <c r="O110" s="27"/>
      <c r="P110" s="27"/>
      <c r="Q110" s="27"/>
      <c r="R110" s="20"/>
    </row>
    <row r="111" spans="1:38" s="7" customFormat="1" ht="15" customHeight="1">
      <c r="A111" s="24">
        <v>54</v>
      </c>
      <c r="B111" s="23" t="s">
        <v>84</v>
      </c>
      <c r="C111" s="24" t="s">
        <v>18</v>
      </c>
      <c r="D111" s="23"/>
      <c r="E111" s="23" t="s">
        <v>19</v>
      </c>
      <c r="F111" s="23" t="s">
        <v>123</v>
      </c>
      <c r="G111" s="23" t="s">
        <v>142</v>
      </c>
      <c r="H111" s="25">
        <v>5</v>
      </c>
      <c r="I111" s="1"/>
      <c r="J111" s="26"/>
      <c r="K111" s="27">
        <f t="shared" si="3"/>
        <v>0</v>
      </c>
      <c r="L111" s="27"/>
      <c r="M111" s="27"/>
      <c r="N111" s="1">
        <v>5</v>
      </c>
      <c r="O111" s="27">
        <f t="shared" si="4"/>
        <v>0</v>
      </c>
      <c r="P111" s="27"/>
      <c r="Q111" s="27"/>
      <c r="R111" s="20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</row>
    <row r="112" spans="1:38" ht="15" customHeight="1">
      <c r="A112" s="24"/>
      <c r="B112" s="23" t="s">
        <v>84</v>
      </c>
      <c r="C112" s="24" t="s">
        <v>18</v>
      </c>
      <c r="D112" s="23"/>
      <c r="E112" s="23" t="s">
        <v>19</v>
      </c>
      <c r="F112" s="23" t="s">
        <v>123</v>
      </c>
      <c r="G112" s="23" t="s">
        <v>122</v>
      </c>
      <c r="H112" s="25">
        <v>0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20"/>
    </row>
    <row r="113" spans="1:38" ht="15" customHeight="1">
      <c r="A113" s="24">
        <v>55</v>
      </c>
      <c r="B113" s="23" t="s">
        <v>85</v>
      </c>
      <c r="C113" s="24" t="s">
        <v>18</v>
      </c>
      <c r="D113" s="23"/>
      <c r="E113" s="23" t="s">
        <v>77</v>
      </c>
      <c r="F113" s="23" t="s">
        <v>120</v>
      </c>
      <c r="G113" s="23" t="s">
        <v>142</v>
      </c>
      <c r="H113" s="25">
        <v>4</v>
      </c>
      <c r="I113" s="1"/>
      <c r="J113" s="26"/>
      <c r="K113" s="27">
        <f t="shared" si="3"/>
        <v>0</v>
      </c>
      <c r="L113" s="27"/>
      <c r="M113" s="27"/>
      <c r="N113" s="1">
        <v>7</v>
      </c>
      <c r="O113" s="27">
        <f t="shared" si="4"/>
        <v>0</v>
      </c>
      <c r="P113" s="27"/>
      <c r="Q113" s="27"/>
      <c r="R113" s="20"/>
    </row>
    <row r="114" spans="1:38" ht="15" customHeight="1">
      <c r="A114" s="24"/>
      <c r="B114" s="23" t="s">
        <v>85</v>
      </c>
      <c r="C114" s="24" t="s">
        <v>18</v>
      </c>
      <c r="D114" s="23"/>
      <c r="E114" s="23" t="s">
        <v>301</v>
      </c>
      <c r="F114" s="23" t="s">
        <v>123</v>
      </c>
      <c r="G114" s="23" t="s">
        <v>131</v>
      </c>
      <c r="H114" s="25">
        <v>5</v>
      </c>
      <c r="I114" s="1"/>
      <c r="J114" s="26"/>
      <c r="K114" s="27">
        <f t="shared" si="3"/>
        <v>0</v>
      </c>
      <c r="L114" s="27"/>
      <c r="M114" s="27"/>
      <c r="N114" s="1">
        <v>2</v>
      </c>
      <c r="O114" s="27">
        <f t="shared" si="4"/>
        <v>0</v>
      </c>
      <c r="P114" s="27"/>
      <c r="Q114" s="27"/>
      <c r="R114" s="20"/>
    </row>
    <row r="115" spans="1:38" ht="15" customHeight="1">
      <c r="A115" s="24">
        <v>56</v>
      </c>
      <c r="B115" s="23" t="s">
        <v>86</v>
      </c>
      <c r="C115" s="24" t="s">
        <v>18</v>
      </c>
      <c r="D115" s="23"/>
      <c r="E115" s="23" t="s">
        <v>77</v>
      </c>
      <c r="F115" s="23" t="s">
        <v>295</v>
      </c>
      <c r="G115" s="23" t="s">
        <v>142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>
        <v>1</v>
      </c>
      <c r="O115" s="27">
        <f t="shared" si="4"/>
        <v>0</v>
      </c>
      <c r="P115" s="27"/>
      <c r="Q115" s="27"/>
      <c r="R115" s="20"/>
    </row>
    <row r="116" spans="1:38" ht="15" customHeight="1">
      <c r="A116" s="24"/>
      <c r="B116" s="23" t="s">
        <v>86</v>
      </c>
      <c r="C116" s="24" t="s">
        <v>18</v>
      </c>
      <c r="D116" s="23"/>
      <c r="E116" s="23" t="s">
        <v>301</v>
      </c>
      <c r="F116" s="23" t="s">
        <v>120</v>
      </c>
      <c r="G116" s="23" t="s">
        <v>131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28.9" customHeight="1">
      <c r="A117" s="29">
        <v>57</v>
      </c>
      <c r="B117" s="30" t="s">
        <v>87</v>
      </c>
      <c r="C117" s="29" t="s">
        <v>52</v>
      </c>
      <c r="D117" s="30" t="s">
        <v>88</v>
      </c>
      <c r="E117" s="30" t="s">
        <v>19</v>
      </c>
      <c r="F117" s="30" t="s">
        <v>292</v>
      </c>
      <c r="G117" s="30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29.25" customHeight="1">
      <c r="A118" s="29"/>
      <c r="B118" s="30" t="s">
        <v>87</v>
      </c>
      <c r="C118" s="29" t="s">
        <v>52</v>
      </c>
      <c r="D118" s="30" t="s">
        <v>88</v>
      </c>
      <c r="E118" s="30" t="s">
        <v>19</v>
      </c>
      <c r="F118" s="30" t="s">
        <v>123</v>
      </c>
      <c r="G118" s="30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ht="26.25" customHeight="1">
      <c r="A119" s="24">
        <v>58</v>
      </c>
      <c r="B119" s="23" t="s">
        <v>89</v>
      </c>
      <c r="C119" s="24" t="s">
        <v>18</v>
      </c>
      <c r="D119" s="23"/>
      <c r="E119" s="23" t="s">
        <v>19</v>
      </c>
      <c r="F119" s="23" t="s">
        <v>292</v>
      </c>
      <c r="G119" s="23" t="s">
        <v>142</v>
      </c>
      <c r="H119" s="25">
        <v>1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s="7" customFormat="1" ht="15" customHeight="1">
      <c r="A120" s="24"/>
      <c r="B120" s="23" t="s">
        <v>89</v>
      </c>
      <c r="C120" s="24" t="s">
        <v>18</v>
      </c>
      <c r="D120" s="23"/>
      <c r="E120" s="23" t="s">
        <v>19</v>
      </c>
      <c r="F120" s="23" t="s">
        <v>120</v>
      </c>
      <c r="G120" s="23" t="s">
        <v>122</v>
      </c>
      <c r="H120" s="25">
        <v>1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ht="15" customHeight="1">
      <c r="A121" s="24">
        <v>59</v>
      </c>
      <c r="B121" s="23" t="s">
        <v>90</v>
      </c>
      <c r="C121" s="24" t="s">
        <v>18</v>
      </c>
      <c r="D121" s="23"/>
      <c r="E121" s="23" t="s">
        <v>19</v>
      </c>
      <c r="F121" s="23" t="s">
        <v>292</v>
      </c>
      <c r="G121" s="23" t="s">
        <v>142</v>
      </c>
      <c r="H121" s="25">
        <v>2</v>
      </c>
      <c r="I121" s="1"/>
      <c r="J121" s="26"/>
      <c r="K121" s="27">
        <f t="shared" si="3"/>
        <v>0</v>
      </c>
      <c r="L121" s="27"/>
      <c r="M121" s="27"/>
      <c r="N121" s="1">
        <v>1</v>
      </c>
      <c r="O121" s="27">
        <f t="shared" si="4"/>
        <v>0</v>
      </c>
      <c r="P121" s="27"/>
      <c r="Q121" s="27"/>
      <c r="R121" s="20"/>
    </row>
    <row r="122" spans="1:38" s="7" customFormat="1" ht="15" customHeight="1">
      <c r="A122" s="24">
        <v>60</v>
      </c>
      <c r="B122" s="23" t="s">
        <v>91</v>
      </c>
      <c r="C122" s="24" t="s">
        <v>18</v>
      </c>
      <c r="D122" s="23"/>
      <c r="E122" s="23" t="s">
        <v>92</v>
      </c>
      <c r="F122" s="23" t="s">
        <v>292</v>
      </c>
      <c r="G122" s="23" t="s">
        <v>142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/>
      <c r="B123" s="23" t="s">
        <v>91</v>
      </c>
      <c r="C123" s="24" t="s">
        <v>18</v>
      </c>
      <c r="D123" s="23"/>
      <c r="E123" s="23" t="s">
        <v>92</v>
      </c>
      <c r="F123" s="23" t="s">
        <v>123</v>
      </c>
      <c r="G123" s="23" t="s">
        <v>136</v>
      </c>
      <c r="H123" s="25">
        <v>0</v>
      </c>
      <c r="I123" s="2"/>
      <c r="J123" s="26"/>
      <c r="K123" s="27">
        <f t="shared" si="3"/>
        <v>0</v>
      </c>
      <c r="L123" s="27"/>
      <c r="M123" s="27"/>
      <c r="N123" s="2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93</v>
      </c>
      <c r="C124" s="24" t="s">
        <v>18</v>
      </c>
      <c r="D124" s="23"/>
      <c r="E124" s="23" t="s">
        <v>19</v>
      </c>
      <c r="F124" s="23" t="s">
        <v>123</v>
      </c>
      <c r="G124" s="23" t="s">
        <v>142</v>
      </c>
      <c r="H124" s="25">
        <v>0</v>
      </c>
      <c r="I124" s="2"/>
      <c r="J124" s="26"/>
      <c r="K124" s="27">
        <f t="shared" si="3"/>
        <v>0</v>
      </c>
      <c r="L124" s="27"/>
      <c r="M124" s="27"/>
      <c r="N124" s="2">
        <v>1</v>
      </c>
      <c r="O124" s="27">
        <f t="shared" si="4"/>
        <v>0</v>
      </c>
      <c r="P124" s="27"/>
      <c r="Q124" s="27"/>
      <c r="R124" s="20"/>
    </row>
    <row r="125" spans="1:38" s="17" customFormat="1" ht="15" customHeight="1">
      <c r="A125" s="24"/>
      <c r="B125" s="23" t="s">
        <v>93</v>
      </c>
      <c r="C125" s="24" t="s">
        <v>18</v>
      </c>
      <c r="D125" s="23"/>
      <c r="E125" s="23" t="s">
        <v>19</v>
      </c>
      <c r="F125" s="23" t="s">
        <v>120</v>
      </c>
      <c r="G125" s="23" t="s">
        <v>131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</row>
    <row r="126" spans="1:38" ht="15" customHeight="1">
      <c r="A126" s="24"/>
      <c r="B126" s="23" t="s">
        <v>93</v>
      </c>
      <c r="C126" s="24" t="s">
        <v>18</v>
      </c>
      <c r="D126" s="23"/>
      <c r="E126" s="23"/>
      <c r="F126" s="23" t="s">
        <v>268</v>
      </c>
      <c r="G126" s="23" t="s">
        <v>122</v>
      </c>
      <c r="H126" s="25">
        <v>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</row>
    <row r="127" spans="1:38" ht="15" customHeight="1">
      <c r="A127" s="24">
        <v>62</v>
      </c>
      <c r="B127" s="23" t="s">
        <v>281</v>
      </c>
      <c r="C127" s="24" t="s">
        <v>18</v>
      </c>
      <c r="D127" s="23"/>
      <c r="E127" s="23" t="s">
        <v>19</v>
      </c>
      <c r="F127" s="23" t="s">
        <v>123</v>
      </c>
      <c r="G127" s="23" t="s">
        <v>142</v>
      </c>
      <c r="H127" s="25">
        <v>3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ht="15" customHeight="1">
      <c r="A128" s="24"/>
      <c r="B128" s="23" t="s">
        <v>281</v>
      </c>
      <c r="C128" s="24" t="s">
        <v>18</v>
      </c>
      <c r="D128" s="23"/>
      <c r="E128" s="23" t="s">
        <v>19</v>
      </c>
      <c r="F128" s="23" t="s">
        <v>285</v>
      </c>
      <c r="G128" s="23" t="s">
        <v>131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>
        <v>1</v>
      </c>
      <c r="O128" s="27"/>
      <c r="P128" s="27"/>
      <c r="Q128" s="27"/>
      <c r="R128" s="20"/>
    </row>
    <row r="129" spans="1:38" ht="15" customHeight="1">
      <c r="A129" s="24"/>
      <c r="B129" s="23" t="s">
        <v>281</v>
      </c>
      <c r="C129" s="24" t="s">
        <v>18</v>
      </c>
      <c r="D129" s="23"/>
      <c r="E129" s="23" t="s">
        <v>19</v>
      </c>
      <c r="F129" s="23" t="s">
        <v>120</v>
      </c>
      <c r="G129" s="23" t="s">
        <v>122</v>
      </c>
      <c r="H129" s="25">
        <v>5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63</v>
      </c>
      <c r="B130" s="23" t="s">
        <v>94</v>
      </c>
      <c r="C130" s="24" t="s">
        <v>18</v>
      </c>
      <c r="D130" s="23"/>
      <c r="E130" s="23" t="s">
        <v>95</v>
      </c>
      <c r="F130" s="23" t="s">
        <v>292</v>
      </c>
      <c r="G130" s="23" t="s">
        <v>142</v>
      </c>
      <c r="H130" s="25">
        <v>7</v>
      </c>
      <c r="I130" s="1">
        <v>1</v>
      </c>
      <c r="J130" s="26">
        <v>1</v>
      </c>
      <c r="K130" s="27">
        <f t="shared" si="3"/>
        <v>0</v>
      </c>
      <c r="L130" s="27"/>
      <c r="M130" s="27"/>
      <c r="N130" s="1">
        <v>5</v>
      </c>
      <c r="O130" s="27">
        <f t="shared" si="4"/>
        <v>0</v>
      </c>
      <c r="P130" s="27"/>
      <c r="Q130" s="27"/>
      <c r="R130" s="20"/>
    </row>
    <row r="131" spans="1:38" s="7" customFormat="1" ht="15" customHeight="1">
      <c r="A131" s="24"/>
      <c r="B131" s="23" t="s">
        <v>128</v>
      </c>
      <c r="C131" s="24" t="s">
        <v>18</v>
      </c>
      <c r="D131" s="23"/>
      <c r="E131" s="23" t="s">
        <v>95</v>
      </c>
      <c r="F131" s="23" t="s">
        <v>123</v>
      </c>
      <c r="G131" s="23" t="s">
        <v>124</v>
      </c>
      <c r="H131" s="25">
        <v>1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 spans="1:38" ht="15" customHeight="1">
      <c r="A132" s="24"/>
      <c r="B132" s="23" t="s">
        <v>128</v>
      </c>
      <c r="C132" s="24" t="s">
        <v>18</v>
      </c>
      <c r="D132" s="23"/>
      <c r="E132" s="23" t="s">
        <v>95</v>
      </c>
      <c r="F132" s="23" t="s">
        <v>123</v>
      </c>
      <c r="G132" s="23" t="s">
        <v>131</v>
      </c>
      <c r="H132" s="25">
        <v>0</v>
      </c>
      <c r="I132" s="2"/>
      <c r="J132" s="26"/>
      <c r="K132" s="27">
        <f t="shared" si="3"/>
        <v>0</v>
      </c>
      <c r="L132" s="27"/>
      <c r="M132" s="27"/>
      <c r="N132" s="2"/>
      <c r="O132" s="27">
        <f t="shared" si="4"/>
        <v>0</v>
      </c>
      <c r="P132" s="27"/>
      <c r="Q132" s="27"/>
      <c r="R132" s="20"/>
    </row>
    <row r="133" spans="1:38" ht="15" customHeight="1">
      <c r="A133" s="24">
        <v>64</v>
      </c>
      <c r="B133" s="23" t="s">
        <v>96</v>
      </c>
      <c r="C133" s="24" t="s">
        <v>18</v>
      </c>
      <c r="D133" s="23"/>
      <c r="E133" s="23" t="s">
        <v>19</v>
      </c>
      <c r="F133" s="23" t="s">
        <v>120</v>
      </c>
      <c r="G133" s="23" t="s">
        <v>142</v>
      </c>
      <c r="H133" s="25">
        <v>3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15" customHeight="1">
      <c r="A134" s="24"/>
      <c r="B134" s="23" t="s">
        <v>96</v>
      </c>
      <c r="C134" s="24" t="s">
        <v>18</v>
      </c>
      <c r="D134" s="23"/>
      <c r="E134" s="23" t="s">
        <v>19</v>
      </c>
      <c r="F134" s="23" t="s">
        <v>292</v>
      </c>
      <c r="G134" s="23" t="s">
        <v>131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/>
      <c r="O134" s="27">
        <f t="shared" si="4"/>
        <v>0</v>
      </c>
      <c r="P134" s="27"/>
      <c r="Q134" s="27"/>
      <c r="R134" s="20"/>
    </row>
    <row r="135" spans="1:38" ht="15" customHeight="1">
      <c r="A135" s="24"/>
      <c r="B135" s="23" t="s">
        <v>96</v>
      </c>
      <c r="C135" s="24" t="s">
        <v>18</v>
      </c>
      <c r="D135" s="23"/>
      <c r="E135" s="23" t="s">
        <v>19</v>
      </c>
      <c r="F135" s="23" t="s">
        <v>292</v>
      </c>
      <c r="G135" s="23" t="s">
        <v>122</v>
      </c>
      <c r="H135" s="25">
        <v>2</v>
      </c>
      <c r="I135" s="1"/>
      <c r="J135" s="26"/>
      <c r="K135" s="27">
        <f t="shared" si="3"/>
        <v>0</v>
      </c>
      <c r="L135" s="27"/>
      <c r="M135" s="27"/>
      <c r="N135" s="1"/>
      <c r="O135" s="27">
        <f t="shared" si="4"/>
        <v>0</v>
      </c>
      <c r="P135" s="27"/>
      <c r="Q135" s="27"/>
      <c r="R135" s="20"/>
    </row>
    <row r="136" spans="1:38" ht="15" customHeight="1">
      <c r="A136" s="24"/>
      <c r="B136" s="23" t="s">
        <v>96</v>
      </c>
      <c r="C136" s="24" t="s">
        <v>18</v>
      </c>
      <c r="D136" s="23"/>
      <c r="E136" s="22" t="s">
        <v>19</v>
      </c>
      <c r="F136" s="23" t="s">
        <v>292</v>
      </c>
      <c r="G136" s="22" t="s">
        <v>136</v>
      </c>
      <c r="H136" s="45">
        <v>0</v>
      </c>
      <c r="I136" s="1"/>
      <c r="J136" s="26"/>
      <c r="K136" s="27">
        <f t="shared" si="3"/>
        <v>0</v>
      </c>
      <c r="L136" s="27"/>
      <c r="M136" s="27"/>
      <c r="N136" s="1"/>
      <c r="O136" s="27">
        <f t="shared" si="4"/>
        <v>0</v>
      </c>
      <c r="P136" s="27"/>
      <c r="Q136" s="27"/>
      <c r="R136" s="20"/>
    </row>
    <row r="137" spans="1:38" ht="15" customHeight="1">
      <c r="A137" s="24">
        <v>65</v>
      </c>
      <c r="B137" s="23" t="s">
        <v>97</v>
      </c>
      <c r="C137" s="24" t="s">
        <v>18</v>
      </c>
      <c r="D137" s="23"/>
      <c r="E137" s="23" t="s">
        <v>19</v>
      </c>
      <c r="F137" s="23" t="s">
        <v>120</v>
      </c>
      <c r="G137" s="23" t="s">
        <v>142</v>
      </c>
      <c r="H137" s="25">
        <v>2</v>
      </c>
      <c r="I137" s="1"/>
      <c r="J137" s="26"/>
      <c r="K137" s="27">
        <f t="shared" si="3"/>
        <v>0</v>
      </c>
      <c r="L137" s="27"/>
      <c r="M137" s="27"/>
      <c r="N137" s="1"/>
      <c r="O137" s="27">
        <f t="shared" si="4"/>
        <v>0</v>
      </c>
      <c r="P137" s="27"/>
      <c r="Q137" s="27"/>
      <c r="R137" s="20"/>
    </row>
    <row r="138" spans="1:38" ht="15" customHeight="1">
      <c r="A138" s="24">
        <v>66</v>
      </c>
      <c r="B138" s="23" t="s">
        <v>98</v>
      </c>
      <c r="C138" s="24" t="s">
        <v>18</v>
      </c>
      <c r="D138" s="23"/>
      <c r="E138" s="23" t="s">
        <v>19</v>
      </c>
      <c r="F138" s="23" t="s">
        <v>120</v>
      </c>
      <c r="G138" s="23" t="s">
        <v>142</v>
      </c>
      <c r="H138" s="25">
        <v>3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2</v>
      </c>
      <c r="O138" s="27">
        <f t="shared" si="4"/>
        <v>0</v>
      </c>
      <c r="P138" s="27"/>
      <c r="Q138" s="27"/>
      <c r="R138" s="20"/>
    </row>
    <row r="139" spans="1:38" ht="15" customHeight="1">
      <c r="A139" s="24">
        <v>67</v>
      </c>
      <c r="B139" s="23" t="s">
        <v>99</v>
      </c>
      <c r="C139" s="24" t="s">
        <v>18</v>
      </c>
      <c r="D139" s="23"/>
      <c r="E139" s="23" t="s">
        <v>19</v>
      </c>
      <c r="F139" s="23" t="s">
        <v>120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/>
      <c r="O139" s="27">
        <f t="shared" si="4"/>
        <v>0</v>
      </c>
      <c r="P139" s="27"/>
      <c r="Q139" s="27"/>
      <c r="R139" s="20"/>
    </row>
    <row r="140" spans="1:38" ht="24.6" customHeight="1">
      <c r="A140" s="29">
        <v>68</v>
      </c>
      <c r="B140" s="30" t="s">
        <v>100</v>
      </c>
      <c r="C140" s="29" t="s">
        <v>30</v>
      </c>
      <c r="D140" s="30" t="s">
        <v>101</v>
      </c>
      <c r="E140" s="30" t="s">
        <v>19</v>
      </c>
      <c r="F140" s="23" t="s">
        <v>120</v>
      </c>
      <c r="G140" s="30" t="s">
        <v>142</v>
      </c>
      <c r="H140" s="25">
        <v>0</v>
      </c>
      <c r="I140" s="1"/>
      <c r="J140" s="26"/>
      <c r="K140" s="27">
        <f t="shared" si="3"/>
        <v>0</v>
      </c>
      <c r="L140" s="27"/>
      <c r="M140" s="27"/>
      <c r="N140" s="1"/>
      <c r="O140" s="27">
        <f t="shared" si="4"/>
        <v>0</v>
      </c>
      <c r="P140" s="27"/>
      <c r="Q140" s="27"/>
      <c r="R140" s="20"/>
    </row>
    <row r="141" spans="1:38" s="7" customFormat="1" ht="29.25" customHeight="1">
      <c r="A141" s="29"/>
      <c r="B141" s="30" t="s">
        <v>100</v>
      </c>
      <c r="C141" s="29" t="s">
        <v>30</v>
      </c>
      <c r="D141" s="30" t="s">
        <v>101</v>
      </c>
      <c r="E141" s="30" t="s">
        <v>19</v>
      </c>
      <c r="F141" s="30" t="s">
        <v>292</v>
      </c>
      <c r="G141" s="30" t="s">
        <v>122</v>
      </c>
      <c r="H141" s="25">
        <v>0</v>
      </c>
      <c r="I141" s="1"/>
      <c r="J141" s="26"/>
      <c r="K141" s="27">
        <f t="shared" si="3"/>
        <v>0</v>
      </c>
      <c r="L141" s="27"/>
      <c r="M141" s="27"/>
      <c r="N141" s="1"/>
      <c r="O141" s="27">
        <f t="shared" si="4"/>
        <v>0</v>
      </c>
      <c r="P141" s="27"/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ht="26.25" customHeight="1">
      <c r="A142" s="46">
        <v>69</v>
      </c>
      <c r="B142" s="60" t="s">
        <v>144</v>
      </c>
      <c r="C142" s="46" t="s">
        <v>18</v>
      </c>
      <c r="D142" s="60"/>
      <c r="E142" s="60" t="s">
        <v>104</v>
      </c>
      <c r="F142" s="60" t="s">
        <v>120</v>
      </c>
      <c r="G142" s="60" t="s">
        <v>142</v>
      </c>
      <c r="H142" s="61">
        <v>0</v>
      </c>
      <c r="I142" s="1"/>
      <c r="J142" s="26"/>
      <c r="K142" s="27">
        <f t="shared" si="3"/>
        <v>0</v>
      </c>
      <c r="L142" s="63"/>
      <c r="M142" s="63"/>
      <c r="N142" s="1"/>
      <c r="O142" s="63">
        <f t="shared" si="4"/>
        <v>0</v>
      </c>
      <c r="P142" s="63"/>
      <c r="Q142" s="63"/>
      <c r="R142" s="20"/>
    </row>
    <row r="143" spans="1:38" ht="15.75" customHeight="1">
      <c r="A143" s="24">
        <v>70</v>
      </c>
      <c r="B143" s="23" t="s">
        <v>102</v>
      </c>
      <c r="C143" s="24" t="s">
        <v>18</v>
      </c>
      <c r="D143" s="23"/>
      <c r="E143" s="23" t="s">
        <v>19</v>
      </c>
      <c r="F143" s="60" t="s">
        <v>120</v>
      </c>
      <c r="G143" s="23" t="s">
        <v>142</v>
      </c>
      <c r="H143" s="25">
        <v>0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>
        <v>71</v>
      </c>
      <c r="B144" s="23" t="s">
        <v>103</v>
      </c>
      <c r="C144" s="24" t="s">
        <v>18</v>
      </c>
      <c r="D144" s="23"/>
      <c r="E144" s="23" t="s">
        <v>19</v>
      </c>
      <c r="F144" s="60" t="s">
        <v>120</v>
      </c>
      <c r="G144" s="23" t="s">
        <v>142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103</v>
      </c>
      <c r="C145" s="24" t="s">
        <v>18</v>
      </c>
      <c r="D145" s="23"/>
      <c r="E145" s="23" t="s">
        <v>19</v>
      </c>
      <c r="F145" s="23" t="s">
        <v>298</v>
      </c>
      <c r="G145" s="23" t="s">
        <v>122</v>
      </c>
      <c r="H145" s="25">
        <v>3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0</v>
      </c>
      <c r="P145" s="27"/>
      <c r="Q145" s="27"/>
      <c r="R145" s="20"/>
    </row>
    <row r="146" spans="1:38" ht="15" customHeight="1">
      <c r="A146" s="24">
        <v>72</v>
      </c>
      <c r="B146" s="23" t="s">
        <v>302</v>
      </c>
      <c r="C146" s="24" t="s">
        <v>305</v>
      </c>
      <c r="D146" s="23"/>
      <c r="E146" s="23" t="s">
        <v>19</v>
      </c>
      <c r="F146" s="23" t="s">
        <v>268</v>
      </c>
      <c r="G146" s="23" t="s">
        <v>122</v>
      </c>
      <c r="H146" s="25">
        <v>3</v>
      </c>
      <c r="I146" s="1"/>
      <c r="J146" s="26"/>
      <c r="K146" s="27"/>
      <c r="L146" s="27"/>
      <c r="M146" s="27"/>
      <c r="N146" s="1"/>
      <c r="O146" s="27"/>
      <c r="P146" s="27"/>
      <c r="Q146" s="27"/>
      <c r="R146" s="20"/>
    </row>
    <row r="147" spans="1:38" ht="24.75" customHeight="1">
      <c r="A147" s="29">
        <v>73</v>
      </c>
      <c r="B147" s="30" t="s">
        <v>105</v>
      </c>
      <c r="C147" s="29" t="s">
        <v>30</v>
      </c>
      <c r="D147" s="30" t="s">
        <v>106</v>
      </c>
      <c r="E147" s="30" t="s">
        <v>19</v>
      </c>
      <c r="F147" s="30" t="s">
        <v>123</v>
      </c>
      <c r="G147" s="30" t="s">
        <v>142</v>
      </c>
      <c r="H147" s="25">
        <v>3</v>
      </c>
      <c r="I147" s="1"/>
      <c r="J147" s="26"/>
      <c r="K147" s="27">
        <f t="shared" si="3"/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</row>
    <row r="148" spans="1:38" s="7" customFormat="1" ht="38.450000000000003" customHeight="1">
      <c r="A148" s="29">
        <v>74</v>
      </c>
      <c r="B148" s="30" t="s">
        <v>265</v>
      </c>
      <c r="C148" s="29" t="s">
        <v>18</v>
      </c>
      <c r="D148" s="30"/>
      <c r="E148" s="30" t="s">
        <v>19</v>
      </c>
      <c r="F148" s="30" t="s">
        <v>123</v>
      </c>
      <c r="G148" s="30" t="s">
        <v>142</v>
      </c>
      <c r="H148" s="25">
        <v>0</v>
      </c>
      <c r="I148" s="1"/>
      <c r="J148" s="26"/>
      <c r="K148" s="27">
        <f t="shared" ref="K148:K169" si="5">L148+M148</f>
        <v>0</v>
      </c>
      <c r="L148" s="27"/>
      <c r="M148" s="27"/>
      <c r="N148" s="1"/>
      <c r="O148" s="27">
        <f t="shared" si="4"/>
        <v>0</v>
      </c>
      <c r="P148" s="27"/>
      <c r="Q148" s="27"/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s="7" customFormat="1" ht="38.450000000000003" customHeight="1">
      <c r="A149" s="24">
        <v>75</v>
      </c>
      <c r="B149" s="23" t="s">
        <v>107</v>
      </c>
      <c r="C149" s="24" t="s">
        <v>18</v>
      </c>
      <c r="D149" s="23"/>
      <c r="E149" s="23" t="s">
        <v>41</v>
      </c>
      <c r="F149" s="30" t="s">
        <v>123</v>
      </c>
      <c r="G149" s="23" t="s">
        <v>142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/>
      <c r="O149" s="27">
        <f t="shared" si="4"/>
        <v>0</v>
      </c>
      <c r="P149" s="27"/>
      <c r="Q149" s="27"/>
      <c r="R149" s="20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</row>
    <row r="150" spans="1:38" ht="15.75" customHeight="1">
      <c r="A150" s="24"/>
      <c r="B150" s="23" t="s">
        <v>107</v>
      </c>
      <c r="C150" s="24" t="s">
        <v>18</v>
      </c>
      <c r="D150" s="23"/>
      <c r="E150" s="23" t="s">
        <v>41</v>
      </c>
      <c r="F150" s="23" t="s">
        <v>295</v>
      </c>
      <c r="G150" s="23" t="s">
        <v>136</v>
      </c>
      <c r="H150" s="25">
        <v>5</v>
      </c>
      <c r="I150" s="2"/>
      <c r="J150" s="26"/>
      <c r="K150" s="27">
        <f t="shared" si="5"/>
        <v>0</v>
      </c>
      <c r="L150" s="27"/>
      <c r="M150" s="27"/>
      <c r="N150" s="2"/>
      <c r="O150" s="27">
        <f t="shared" si="4"/>
        <v>0</v>
      </c>
      <c r="P150" s="27"/>
      <c r="Q150" s="27"/>
      <c r="R150" s="20"/>
    </row>
    <row r="151" spans="1:38" ht="16.5" customHeight="1">
      <c r="A151" s="24">
        <v>76</v>
      </c>
      <c r="B151" s="23" t="s">
        <v>108</v>
      </c>
      <c r="C151" s="24" t="s">
        <v>18</v>
      </c>
      <c r="D151" s="23"/>
      <c r="E151" s="23" t="s">
        <v>19</v>
      </c>
      <c r="F151" s="23" t="s">
        <v>292</v>
      </c>
      <c r="G151" s="23" t="s">
        <v>142</v>
      </c>
      <c r="H151" s="25">
        <v>6</v>
      </c>
      <c r="I151" s="1">
        <v>2</v>
      </c>
      <c r="J151" s="26">
        <v>2</v>
      </c>
      <c r="K151" s="27">
        <f t="shared" si="5"/>
        <v>0</v>
      </c>
      <c r="L151" s="27"/>
      <c r="M151" s="27"/>
      <c r="N151" s="1">
        <v>3</v>
      </c>
      <c r="O151" s="27">
        <f t="shared" si="4"/>
        <v>0</v>
      </c>
      <c r="P151" s="27"/>
      <c r="Q151" s="27"/>
      <c r="R151" s="20"/>
    </row>
    <row r="152" spans="1:38" s="7" customFormat="1" ht="16.5" customHeight="1">
      <c r="A152" s="24"/>
      <c r="B152" s="23" t="s">
        <v>108</v>
      </c>
      <c r="C152" s="24" t="s">
        <v>18</v>
      </c>
      <c r="D152" s="23"/>
      <c r="E152" s="23" t="s">
        <v>19</v>
      </c>
      <c r="F152" s="23" t="s">
        <v>0</v>
      </c>
      <c r="G152" s="23" t="s">
        <v>122</v>
      </c>
      <c r="H152" s="25">
        <v>1</v>
      </c>
      <c r="I152" s="1"/>
      <c r="J152" s="26"/>
      <c r="K152" s="27">
        <f t="shared" si="5"/>
        <v>0</v>
      </c>
      <c r="L152" s="27"/>
      <c r="M152" s="27"/>
      <c r="N152" s="1">
        <v>1</v>
      </c>
      <c r="O152" s="27"/>
      <c r="P152" s="27"/>
      <c r="Q152" s="27"/>
      <c r="R152" s="20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 spans="1:38" s="7" customFormat="1" ht="16.5" customHeight="1">
      <c r="A153" s="24">
        <v>77</v>
      </c>
      <c r="B153" s="23" t="s">
        <v>146</v>
      </c>
      <c r="C153" s="24" t="s">
        <v>18</v>
      </c>
      <c r="D153" s="23"/>
      <c r="E153" s="23" t="s">
        <v>104</v>
      </c>
      <c r="F153" s="23" t="s">
        <v>291</v>
      </c>
      <c r="G153" s="23" t="s">
        <v>142</v>
      </c>
      <c r="H153" s="25">
        <v>0</v>
      </c>
      <c r="I153" s="1"/>
      <c r="J153" s="26"/>
      <c r="K153" s="27">
        <f t="shared" si="5"/>
        <v>0</v>
      </c>
      <c r="L153" s="27"/>
      <c r="M153" s="27"/>
      <c r="N153" s="1"/>
      <c r="O153" s="27">
        <f t="shared" si="4"/>
        <v>0</v>
      </c>
      <c r="P153" s="27"/>
      <c r="Q153" s="27"/>
      <c r="R153" s="20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 spans="1:38" ht="23.45" customHeight="1">
      <c r="A154" s="29">
        <v>78</v>
      </c>
      <c r="B154" s="30" t="s">
        <v>109</v>
      </c>
      <c r="C154" s="29" t="s">
        <v>52</v>
      </c>
      <c r="D154" s="30" t="s">
        <v>110</v>
      </c>
      <c r="E154" s="30" t="s">
        <v>19</v>
      </c>
      <c r="F154" s="30" t="s">
        <v>123</v>
      </c>
      <c r="G154" s="30" t="s">
        <v>142</v>
      </c>
      <c r="H154" s="25">
        <v>9</v>
      </c>
      <c r="I154" s="1">
        <v>5</v>
      </c>
      <c r="J154" s="26">
        <v>5</v>
      </c>
      <c r="K154" s="27">
        <f t="shared" si="5"/>
        <v>0</v>
      </c>
      <c r="L154" s="27"/>
      <c r="M154" s="27"/>
      <c r="N154" s="1">
        <v>5</v>
      </c>
      <c r="O154" s="27">
        <f t="shared" si="4"/>
        <v>0</v>
      </c>
      <c r="P154" s="27"/>
      <c r="Q154" s="27"/>
      <c r="R154" s="20"/>
    </row>
    <row r="155" spans="1:38" s="7" customFormat="1" ht="27" customHeight="1">
      <c r="A155" s="29"/>
      <c r="B155" s="30" t="s">
        <v>109</v>
      </c>
      <c r="C155" s="29" t="s">
        <v>52</v>
      </c>
      <c r="D155" s="30" t="s">
        <v>110</v>
      </c>
      <c r="E155" s="30" t="s">
        <v>19</v>
      </c>
      <c r="F155" s="30" t="s">
        <v>292</v>
      </c>
      <c r="G155" s="30" t="s">
        <v>122</v>
      </c>
      <c r="H155" s="25">
        <v>5</v>
      </c>
      <c r="I155" s="1"/>
      <c r="J155" s="26"/>
      <c r="K155" s="27">
        <f t="shared" si="5"/>
        <v>0</v>
      </c>
      <c r="L155" s="27"/>
      <c r="M155" s="27"/>
      <c r="N155" s="1">
        <v>6</v>
      </c>
      <c r="O155" s="27">
        <f t="shared" si="4"/>
        <v>0</v>
      </c>
      <c r="P155" s="27"/>
      <c r="Q155" s="27"/>
      <c r="R155" s="20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</row>
    <row r="156" spans="1:38" ht="27.75" customHeight="1">
      <c r="A156" s="24">
        <v>79</v>
      </c>
      <c r="B156" s="23" t="s">
        <v>111</v>
      </c>
      <c r="C156" s="24" t="s">
        <v>18</v>
      </c>
      <c r="D156" s="23"/>
      <c r="E156" s="23" t="s">
        <v>112</v>
      </c>
      <c r="F156" s="23" t="s">
        <v>268</v>
      </c>
      <c r="G156" s="23" t="s">
        <v>142</v>
      </c>
      <c r="H156" s="25">
        <v>1</v>
      </c>
      <c r="I156" s="1"/>
      <c r="J156" s="26"/>
      <c r="K156" s="27">
        <f t="shared" si="5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6.5" customHeight="1">
      <c r="A157" s="24"/>
      <c r="B157" s="23" t="s">
        <v>111</v>
      </c>
      <c r="C157" s="24" t="s">
        <v>18</v>
      </c>
      <c r="D157" s="23"/>
      <c r="E157" s="23" t="s">
        <v>112</v>
      </c>
      <c r="F157" s="23" t="s">
        <v>123</v>
      </c>
      <c r="G157" s="23" t="s">
        <v>136</v>
      </c>
      <c r="H157" s="25">
        <v>2</v>
      </c>
      <c r="I157" s="2"/>
      <c r="J157" s="26"/>
      <c r="K157" s="27">
        <f t="shared" si="5"/>
        <v>0</v>
      </c>
      <c r="L157" s="27"/>
      <c r="M157" s="27"/>
      <c r="N157" s="2"/>
      <c r="O157" s="27">
        <f t="shared" si="4"/>
        <v>0</v>
      </c>
      <c r="P157" s="27"/>
      <c r="Q157" s="27"/>
      <c r="R157" s="20"/>
    </row>
    <row r="158" spans="1:38" ht="16.5" customHeight="1">
      <c r="A158" s="24">
        <v>80</v>
      </c>
      <c r="B158" s="23" t="s">
        <v>113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5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18.75" customHeight="1">
      <c r="A159" s="24"/>
      <c r="B159" s="23" t="s">
        <v>113</v>
      </c>
      <c r="C159" s="24" t="s">
        <v>18</v>
      </c>
      <c r="D159" s="23"/>
      <c r="E159" s="23" t="s">
        <v>19</v>
      </c>
      <c r="F159" s="23" t="s">
        <v>292</v>
      </c>
      <c r="G159" s="23" t="s">
        <v>122</v>
      </c>
      <c r="H159" s="25">
        <v>3</v>
      </c>
      <c r="I159" s="1"/>
      <c r="J159" s="26"/>
      <c r="K159" s="27">
        <f t="shared" si="5"/>
        <v>0</v>
      </c>
      <c r="L159" s="27"/>
      <c r="M159" s="27"/>
      <c r="N159" s="1">
        <v>2</v>
      </c>
      <c r="O159" s="27">
        <f t="shared" si="4"/>
        <v>0</v>
      </c>
      <c r="P159" s="27"/>
      <c r="Q159" s="27"/>
      <c r="R159" s="20"/>
    </row>
    <row r="160" spans="1:38" ht="12.6" customHeight="1">
      <c r="A160" s="24">
        <v>81</v>
      </c>
      <c r="B160" s="23" t="s">
        <v>114</v>
      </c>
      <c r="C160" s="24" t="s">
        <v>18</v>
      </c>
      <c r="D160" s="23"/>
      <c r="E160" s="23" t="s">
        <v>41</v>
      </c>
      <c r="F160" s="23" t="s">
        <v>268</v>
      </c>
      <c r="G160" s="23" t="s">
        <v>142</v>
      </c>
      <c r="H160" s="25">
        <v>1</v>
      </c>
      <c r="I160" s="1"/>
      <c r="J160" s="26"/>
      <c r="K160" s="27">
        <f t="shared" si="5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6.899999999999999" customHeight="1">
      <c r="A161" s="24"/>
      <c r="B161" s="23" t="s">
        <v>141</v>
      </c>
      <c r="C161" s="24" t="s">
        <v>18</v>
      </c>
      <c r="D161" s="23"/>
      <c r="E161" s="23" t="s">
        <v>41</v>
      </c>
      <c r="F161" s="23" t="s">
        <v>295</v>
      </c>
      <c r="G161" s="23" t="s">
        <v>136</v>
      </c>
      <c r="H161" s="25">
        <v>4</v>
      </c>
      <c r="I161" s="2"/>
      <c r="J161" s="26"/>
      <c r="K161" s="27">
        <f t="shared" si="5"/>
        <v>0</v>
      </c>
      <c r="L161" s="27"/>
      <c r="M161" s="27"/>
      <c r="N161" s="2"/>
      <c r="O161" s="27">
        <f t="shared" si="4"/>
        <v>0</v>
      </c>
      <c r="P161" s="27"/>
      <c r="Q161" s="27"/>
      <c r="R161" s="20"/>
    </row>
    <row r="162" spans="1:38" ht="24.6" customHeight="1">
      <c r="A162" s="29">
        <v>82</v>
      </c>
      <c r="B162" s="30" t="s">
        <v>115</v>
      </c>
      <c r="C162" s="29" t="s">
        <v>52</v>
      </c>
      <c r="D162" s="30" t="s">
        <v>110</v>
      </c>
      <c r="E162" s="30" t="s">
        <v>19</v>
      </c>
      <c r="F162" s="30"/>
      <c r="G162" s="30" t="s">
        <v>142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ref="O162:O166" si="6">P162+Q162</f>
        <v>0</v>
      </c>
      <c r="P162" s="27"/>
      <c r="Q162" s="27"/>
      <c r="R162" s="20"/>
    </row>
    <row r="163" spans="1:38" ht="32.25" customHeight="1">
      <c r="A163" s="29"/>
      <c r="B163" s="30" t="s">
        <v>115</v>
      </c>
      <c r="C163" s="29" t="s">
        <v>52</v>
      </c>
      <c r="D163" s="30" t="s">
        <v>110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44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38" ht="34.9" customHeight="1">
      <c r="A164" s="29">
        <v>83</v>
      </c>
      <c r="B164" s="30" t="s">
        <v>116</v>
      </c>
      <c r="C164" s="29" t="s">
        <v>52</v>
      </c>
      <c r="D164" s="30" t="s">
        <v>117</v>
      </c>
      <c r="E164" s="30" t="s">
        <v>19</v>
      </c>
      <c r="F164" s="30" t="s">
        <v>299</v>
      </c>
      <c r="G164" s="30" t="s">
        <v>142</v>
      </c>
      <c r="H164" s="25">
        <v>7</v>
      </c>
      <c r="I164" s="1"/>
      <c r="J164" s="44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38" ht="28.5" customHeight="1">
      <c r="A165" s="29">
        <v>84</v>
      </c>
      <c r="B165" s="30" t="s">
        <v>209</v>
      </c>
      <c r="C165" s="29" t="s">
        <v>18</v>
      </c>
      <c r="D165" s="30"/>
      <c r="E165" s="30" t="s">
        <v>19</v>
      </c>
      <c r="F165" s="30" t="s">
        <v>123</v>
      </c>
      <c r="G165" s="30" t="s">
        <v>142</v>
      </c>
      <c r="H165" s="25">
        <v>0</v>
      </c>
      <c r="I165" s="1"/>
      <c r="J165" s="44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38" ht="19.5" customHeight="1">
      <c r="A166" s="29">
        <v>85</v>
      </c>
      <c r="B166" s="30" t="s">
        <v>118</v>
      </c>
      <c r="C166" s="29" t="s">
        <v>18</v>
      </c>
      <c r="D166" s="30"/>
      <c r="E166" s="30" t="s">
        <v>41</v>
      </c>
      <c r="F166" s="30" t="s">
        <v>292</v>
      </c>
      <c r="G166" s="30" t="s">
        <v>142</v>
      </c>
      <c r="H166" s="25">
        <v>2</v>
      </c>
      <c r="I166" s="1"/>
      <c r="J166" s="44"/>
      <c r="K166" s="27">
        <f t="shared" si="5"/>
        <v>0</v>
      </c>
      <c r="L166" s="27"/>
      <c r="M166" s="27"/>
      <c r="N166" s="1">
        <v>12</v>
      </c>
      <c r="O166" s="27">
        <f t="shared" si="6"/>
        <v>0</v>
      </c>
      <c r="P166" s="27"/>
      <c r="Q166" s="27"/>
      <c r="R166" s="20"/>
    </row>
    <row r="167" spans="1:38" s="7" customFormat="1" ht="30.6" customHeight="1">
      <c r="A167" s="24"/>
      <c r="B167" s="23" t="s">
        <v>118</v>
      </c>
      <c r="C167" s="24" t="s">
        <v>18</v>
      </c>
      <c r="D167" s="23"/>
      <c r="E167" s="23" t="s">
        <v>41</v>
      </c>
      <c r="F167" s="23" t="s">
        <v>298</v>
      </c>
      <c r="G167" s="23" t="s">
        <v>124</v>
      </c>
      <c r="H167" s="25">
        <v>0</v>
      </c>
      <c r="I167" s="1"/>
      <c r="J167" s="44"/>
      <c r="K167" s="27">
        <f t="shared" si="5"/>
        <v>0</v>
      </c>
      <c r="L167" s="27"/>
      <c r="M167" s="27"/>
      <c r="N167" s="1"/>
      <c r="O167" s="27">
        <f>P167+Q167</f>
        <v>0</v>
      </c>
      <c r="P167" s="27"/>
      <c r="Q167" s="27"/>
      <c r="R167" s="20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</row>
    <row r="168" spans="1:38" ht="27" customHeight="1">
      <c r="A168" s="24"/>
      <c r="B168" s="23" t="s">
        <v>118</v>
      </c>
      <c r="C168" s="24" t="s">
        <v>18</v>
      </c>
      <c r="D168" s="23"/>
      <c r="E168" s="23" t="s">
        <v>41</v>
      </c>
      <c r="F168" s="23" t="s">
        <v>123</v>
      </c>
      <c r="G168" s="23" t="s">
        <v>136</v>
      </c>
      <c r="H168" s="25">
        <v>0</v>
      </c>
      <c r="I168" s="2"/>
      <c r="J168" s="26"/>
      <c r="K168" s="27">
        <f t="shared" si="5"/>
        <v>0</v>
      </c>
      <c r="L168" s="27"/>
      <c r="M168" s="27"/>
      <c r="N168" s="2"/>
      <c r="O168" s="27">
        <f>P168+Q168</f>
        <v>0</v>
      </c>
      <c r="P168" s="27"/>
      <c r="Q168" s="27"/>
      <c r="R168" s="20"/>
    </row>
    <row r="169" spans="1:38" ht="18.75" customHeight="1" thickBot="1">
      <c r="A169" s="47"/>
      <c r="B169" s="99" t="s">
        <v>119</v>
      </c>
      <c r="C169" s="47" t="s">
        <v>18</v>
      </c>
      <c r="D169" s="99"/>
      <c r="E169" s="99" t="s">
        <v>19</v>
      </c>
      <c r="F169" s="99" t="s">
        <v>120</v>
      </c>
      <c r="G169" s="99" t="s">
        <v>122</v>
      </c>
      <c r="H169" s="100">
        <v>0</v>
      </c>
      <c r="I169" s="16"/>
      <c r="J169" s="101"/>
      <c r="K169" s="27">
        <f t="shared" si="5"/>
        <v>0</v>
      </c>
      <c r="L169" s="102"/>
      <c r="M169" s="102"/>
      <c r="N169" s="16"/>
      <c r="O169" s="102">
        <f>P169+Q169</f>
        <v>0</v>
      </c>
      <c r="P169" s="102"/>
      <c r="Q169" s="102"/>
      <c r="R169" s="20"/>
    </row>
    <row r="170" spans="1:38" ht="16.5" customHeight="1">
      <c r="A170" s="87" t="s">
        <v>145</v>
      </c>
      <c r="B170" s="87"/>
      <c r="C170" s="88"/>
      <c r="D170" s="89"/>
      <c r="E170" s="89"/>
      <c r="F170" s="89"/>
      <c r="G170" s="89"/>
      <c r="H170" s="88">
        <f t="shared" ref="H170:Q170" si="7">SUM(H10:H169)</f>
        <v>255</v>
      </c>
      <c r="I170" s="88">
        <f t="shared" si="7"/>
        <v>34</v>
      </c>
      <c r="J170" s="88">
        <f t="shared" si="7"/>
        <v>34</v>
      </c>
      <c r="K170" s="90">
        <f t="shared" si="7"/>
        <v>0</v>
      </c>
      <c r="L170" s="90">
        <f t="shared" si="7"/>
        <v>0</v>
      </c>
      <c r="M170" s="88">
        <f t="shared" si="7"/>
        <v>0</v>
      </c>
      <c r="N170" s="88">
        <f t="shared" si="7"/>
        <v>167</v>
      </c>
      <c r="O170" s="88">
        <f t="shared" si="7"/>
        <v>0</v>
      </c>
      <c r="P170" s="88">
        <f t="shared" si="7"/>
        <v>0</v>
      </c>
      <c r="Q170" s="88">
        <f t="shared" si="7"/>
        <v>0</v>
      </c>
      <c r="R170" s="20"/>
    </row>
    <row r="171" spans="1:38" ht="15" customHeight="1">
      <c r="A171" s="5"/>
      <c r="B171" s="6"/>
      <c r="C171" s="5"/>
      <c r="D171" s="6"/>
      <c r="E171" s="6"/>
      <c r="F171" s="6"/>
      <c r="G171" s="6"/>
      <c r="H171" s="9"/>
      <c r="I171" s="9"/>
      <c r="J171" s="9"/>
      <c r="K171" s="9"/>
      <c r="L171" s="9"/>
      <c r="M171" s="11"/>
      <c r="N171" s="9"/>
      <c r="O171" s="9"/>
      <c r="P171" s="5"/>
      <c r="Q171" s="13"/>
      <c r="R171" s="20"/>
    </row>
    <row r="172" spans="1:38">
      <c r="R172" s="20"/>
    </row>
    <row r="173" spans="1:38">
      <c r="K173" s="15"/>
      <c r="L173" s="15"/>
      <c r="M173" s="19"/>
    </row>
    <row r="174" spans="1:38">
      <c r="K174" s="15"/>
      <c r="L174" s="15"/>
      <c r="N174" s="15"/>
      <c r="O174" s="15"/>
    </row>
    <row r="175" spans="1:38">
      <c r="K175" s="15"/>
      <c r="L175" s="15"/>
      <c r="N175" s="15"/>
    </row>
    <row r="176" spans="1:38">
      <c r="K176" s="15"/>
      <c r="L176" s="15"/>
    </row>
    <row r="177" spans="11:12">
      <c r="K177" s="15"/>
      <c r="L177" s="15"/>
    </row>
    <row r="178" spans="11:12">
      <c r="L178" s="15"/>
    </row>
    <row r="185" spans="11:12">
      <c r="L185" s="15"/>
    </row>
  </sheetData>
  <mergeCells count="8">
    <mergeCell ref="A170:B17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R223"/>
  <sheetViews>
    <sheetView topLeftCell="A182" zoomScaleNormal="100" workbookViewId="0">
      <selection activeCell="H206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27</v>
      </c>
      <c r="I11" s="1">
        <v>11</v>
      </c>
      <c r="J11" s="26">
        <v>11</v>
      </c>
      <c r="K11" s="27">
        <f t="shared" ref="K11:K75" si="1">L11+M11</f>
        <v>18067.2</v>
      </c>
      <c r="L11" s="27">
        <v>18067.2</v>
      </c>
      <c r="M11" s="27"/>
      <c r="N11" s="1">
        <v>17</v>
      </c>
      <c r="O11" s="27">
        <f t="shared" ref="O11:O75" si="2">P11+Q11</f>
        <v>74578.22</v>
      </c>
      <c r="P11" s="27">
        <v>74578.22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49</v>
      </c>
      <c r="I12" s="1">
        <v>18</v>
      </c>
      <c r="J12" s="26">
        <v>25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52</v>
      </c>
      <c r="I16" s="1">
        <v>45</v>
      </c>
      <c r="J16" s="26">
        <v>55</v>
      </c>
      <c r="K16" s="27">
        <f t="shared" si="1"/>
        <v>44323.94</v>
      </c>
      <c r="L16" s="27">
        <f>35564.14+8759.8</f>
        <v>44323.94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55</v>
      </c>
      <c r="I20" s="1">
        <v>43</v>
      </c>
      <c r="J20" s="26">
        <v>45</v>
      </c>
      <c r="K20" s="27">
        <f t="shared" si="1"/>
        <v>38815.240000000005</v>
      </c>
      <c r="L20" s="27">
        <f>32460.24+6355</f>
        <v>38815.240000000005</v>
      </c>
      <c r="M20" s="27"/>
      <c r="N20" s="1">
        <v>29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4</v>
      </c>
      <c r="J22" s="26">
        <v>4</v>
      </c>
      <c r="K22" s="27">
        <f t="shared" si="1"/>
        <v>4050.2</v>
      </c>
      <c r="L22" s="27">
        <v>4050.2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16</v>
      </c>
      <c r="I27" s="40">
        <v>3</v>
      </c>
      <c r="J27" s="43">
        <v>3</v>
      </c>
      <c r="K27" s="27">
        <f t="shared" si="1"/>
        <v>1104.5999999999999</v>
      </c>
      <c r="L27" s="39">
        <v>1104.5999999999999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3259.7</v>
      </c>
      <c r="P30" s="27">
        <v>3259.7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28</v>
      </c>
      <c r="I31" s="1">
        <v>18</v>
      </c>
      <c r="J31" s="26">
        <v>20</v>
      </c>
      <c r="K31" s="27">
        <f t="shared" si="1"/>
        <v>16408.98</v>
      </c>
      <c r="L31" s="27">
        <f>14723.62+1685.36</f>
        <v>16408.98</v>
      </c>
      <c r="M31" s="27"/>
      <c r="N31" s="1">
        <v>22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13</v>
      </c>
      <c r="I33" s="2">
        <v>4</v>
      </c>
      <c r="J33" s="26">
        <v>4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25</v>
      </c>
      <c r="I34" s="1">
        <v>16</v>
      </c>
      <c r="J34" s="26">
        <v>26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6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5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16</v>
      </c>
      <c r="I37" s="1">
        <v>1</v>
      </c>
      <c r="J37" s="26">
        <v>1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18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30457.22</v>
      </c>
      <c r="P38" s="27">
        <f>11156.02+2671.19+16630.01</f>
        <v>30457.22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3</v>
      </c>
      <c r="J39" s="26">
        <v>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27</v>
      </c>
      <c r="I40" s="1">
        <v>18</v>
      </c>
      <c r="J40" s="26">
        <v>20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19</v>
      </c>
      <c r="I41" s="2">
        <v>5</v>
      </c>
      <c r="J41" s="26">
        <v>5</v>
      </c>
      <c r="K41" s="27">
        <f t="shared" si="1"/>
        <v>5814.6</v>
      </c>
      <c r="L41" s="27">
        <v>5814.6</v>
      </c>
      <c r="M41" s="27"/>
      <c r="N41" s="2">
        <v>11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14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22</v>
      </c>
      <c r="I43" s="1">
        <v>1</v>
      </c>
      <c r="J43" s="26">
        <v>1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31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11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12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22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20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10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31</v>
      </c>
      <c r="I55" s="1">
        <v>17</v>
      </c>
      <c r="J55" s="26">
        <v>17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1</v>
      </c>
      <c r="J56" s="26">
        <v>1</v>
      </c>
      <c r="K56" s="27">
        <f t="shared" si="1"/>
        <v>2819.2</v>
      </c>
      <c r="L56" s="27">
        <v>2819.2</v>
      </c>
      <c r="M56" s="27"/>
      <c r="N56" s="2">
        <v>2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33</v>
      </c>
      <c r="I58" s="2">
        <v>5</v>
      </c>
      <c r="J58" s="26">
        <v>5</v>
      </c>
      <c r="K58" s="27">
        <f>L58+M58</f>
        <v>14109.4</v>
      </c>
      <c r="L58" s="27">
        <v>14109.4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49</v>
      </c>
      <c r="I61" s="26">
        <v>33</v>
      </c>
      <c r="J61" s="26">
        <v>33</v>
      </c>
      <c r="K61" s="27">
        <f t="shared" si="1"/>
        <v>26769.279999999999</v>
      </c>
      <c r="L61" s="83">
        <f>12981.51+2495.36+11292.41</f>
        <v>26769.279999999999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27</v>
      </c>
      <c r="J62" s="26">
        <v>27</v>
      </c>
      <c r="K62" s="27">
        <f t="shared" si="1"/>
        <v>35313.24</v>
      </c>
      <c r="L62" s="27">
        <f>26838.02+8475.22</f>
        <v>35313.24</v>
      </c>
      <c r="M62" s="27"/>
      <c r="N62" s="1">
        <v>20</v>
      </c>
      <c r="O62" s="27">
        <f t="shared" si="2"/>
        <v>28261.599999999999</v>
      </c>
      <c r="P62" s="27">
        <v>28261.599999999999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34</v>
      </c>
      <c r="I63" s="1">
        <v>23</v>
      </c>
      <c r="J63" s="26">
        <v>26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37111.350000000006</v>
      </c>
      <c r="P63" s="27">
        <v>37111.350000000006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4</v>
      </c>
      <c r="J64" s="26">
        <v>5</v>
      </c>
      <c r="K64" s="27">
        <f t="shared" si="1"/>
        <v>6974.5</v>
      </c>
      <c r="L64" s="27">
        <v>6974.5</v>
      </c>
      <c r="M64" s="27"/>
      <c r="N64" s="1">
        <v>13</v>
      </c>
      <c r="O64" s="27">
        <f t="shared" si="2"/>
        <v>30561.599999999999</v>
      </c>
      <c r="P64" s="27">
        <v>30561.599999999999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23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17</v>
      </c>
      <c r="I68" s="1">
        <v>12</v>
      </c>
      <c r="J68" s="26">
        <v>12</v>
      </c>
      <c r="K68" s="27">
        <f t="shared" si="1"/>
        <v>14205.34</v>
      </c>
      <c r="L68" s="27">
        <f>14205.34</f>
        <v>14205.34</v>
      </c>
      <c r="M68" s="27"/>
      <c r="N68" s="1">
        <v>9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27</v>
      </c>
      <c r="I70" s="1">
        <v>15</v>
      </c>
      <c r="J70" s="26">
        <v>18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12</v>
      </c>
      <c r="I71" s="2">
        <v>4</v>
      </c>
      <c r="J71" s="26">
        <v>4</v>
      </c>
      <c r="K71" s="27">
        <f t="shared" si="1"/>
        <v>3171.6</v>
      </c>
      <c r="L71" s="27">
        <v>3171.6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30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46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42</v>
      </c>
      <c r="I75" s="1">
        <v>37</v>
      </c>
      <c r="J75" s="26">
        <v>38</v>
      </c>
      <c r="K75" s="27">
        <f t="shared" si="1"/>
        <v>24402.11</v>
      </c>
      <c r="L75" s="27">
        <f>24129.81+272.3</f>
        <v>24402.11</v>
      </c>
      <c r="M75" s="27"/>
      <c r="N75" s="1">
        <v>10</v>
      </c>
      <c r="O75" s="27">
        <f t="shared" si="2"/>
        <v>33169.909999999996</v>
      </c>
      <c r="P75" s="27">
        <f>31150.39+2019.52</f>
        <v>33169.909999999996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3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13</v>
      </c>
      <c r="I77" s="1">
        <v>4</v>
      </c>
      <c r="J77" s="26">
        <v>4</v>
      </c>
      <c r="K77" s="27">
        <f t="shared" si="3"/>
        <v>6200.7</v>
      </c>
      <c r="L77" s="27">
        <v>6200.7</v>
      </c>
      <c r="M77" s="27"/>
      <c r="N77" s="1">
        <v>9</v>
      </c>
      <c r="O77" s="27">
        <f t="shared" si="4"/>
        <v>42935.74</v>
      </c>
      <c r="P77" s="27">
        <v>42935.74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6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21</v>
      </c>
      <c r="I79" s="1">
        <v>16</v>
      </c>
      <c r="J79" s="26">
        <v>16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29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13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15</v>
      </c>
      <c r="I82" s="1">
        <v>1</v>
      </c>
      <c r="J82" s="26">
        <v>1</v>
      </c>
      <c r="K82" s="27">
        <f t="shared" si="3"/>
        <v>2025.1</v>
      </c>
      <c r="L82" s="27">
        <v>2025.1</v>
      </c>
      <c r="M82" s="27"/>
      <c r="N82" s="1">
        <v>14</v>
      </c>
      <c r="O82" s="27">
        <f t="shared" si="4"/>
        <v>16465.599999999999</v>
      </c>
      <c r="P82" s="27">
        <v>16465.599999999999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22</v>
      </c>
      <c r="I83" s="1">
        <v>16</v>
      </c>
      <c r="J83" s="26">
        <v>16</v>
      </c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93</v>
      </c>
      <c r="I85" s="1">
        <v>47</v>
      </c>
      <c r="J85" s="26">
        <v>47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268</v>
      </c>
      <c r="G86" s="37" t="s">
        <v>131</v>
      </c>
      <c r="H86" s="42">
        <v>9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43</v>
      </c>
      <c r="I89" s="1">
        <v>41</v>
      </c>
      <c r="J89" s="26">
        <v>42</v>
      </c>
      <c r="K89" s="27">
        <f t="shared" si="3"/>
        <v>40111.32</v>
      </c>
      <c r="L89" s="27">
        <f>34327.04+5784.28</f>
        <v>40111.32</v>
      </c>
      <c r="M89" s="27"/>
      <c r="N89" s="1">
        <v>17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5</v>
      </c>
      <c r="J95" s="26">
        <v>5</v>
      </c>
      <c r="K95" s="27">
        <f t="shared" si="3"/>
        <v>6238.1</v>
      </c>
      <c r="L95" s="27">
        <v>6238.1</v>
      </c>
      <c r="M95" s="27"/>
      <c r="N95" s="2">
        <v>20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13</v>
      </c>
      <c r="I98" s="1">
        <v>12</v>
      </c>
      <c r="J98" s="26">
        <v>13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2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29</v>
      </c>
      <c r="I104" s="1">
        <v>19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10</v>
      </c>
      <c r="O104" s="27">
        <f t="shared" si="4"/>
        <v>38525.03</v>
      </c>
      <c r="P104" s="27">
        <f>34082.68+4442.35</f>
        <v>38525.03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21</v>
      </c>
      <c r="I105" s="1">
        <v>12</v>
      </c>
      <c r="J105" s="26">
        <v>13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13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33</v>
      </c>
      <c r="I107" s="1">
        <v>5</v>
      </c>
      <c r="J107" s="26">
        <v>5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23</v>
      </c>
      <c r="I108" s="1">
        <v>19</v>
      </c>
      <c r="J108" s="26">
        <v>23</v>
      </c>
      <c r="K108" s="27">
        <f t="shared" si="3"/>
        <v>12885.23</v>
      </c>
      <c r="L108" s="27">
        <f>10653.08+2232.15</f>
        <v>12885.23</v>
      </c>
      <c r="M108" s="27"/>
      <c r="N108" s="1">
        <v>24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37</v>
      </c>
      <c r="I109" s="1">
        <v>7</v>
      </c>
      <c r="J109" s="26">
        <v>7</v>
      </c>
      <c r="K109" s="27">
        <f t="shared" si="3"/>
        <v>0</v>
      </c>
      <c r="L109" s="27"/>
      <c r="M109" s="27"/>
      <c r="N109" s="1">
        <v>21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38</v>
      </c>
      <c r="I110" s="2">
        <v>14</v>
      </c>
      <c r="J110" s="26">
        <v>14</v>
      </c>
      <c r="K110" s="27">
        <f t="shared" si="3"/>
        <v>10153.620000000001</v>
      </c>
      <c r="L110" s="27">
        <v>10153.620000000001</v>
      </c>
      <c r="M110" s="27"/>
      <c r="N110" s="2">
        <v>32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12</v>
      </c>
      <c r="I112" s="2">
        <v>2</v>
      </c>
      <c r="J112" s="26">
        <v>2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13</v>
      </c>
      <c r="I113" s="2">
        <v>4</v>
      </c>
      <c r="J113" s="26">
        <v>4</v>
      </c>
      <c r="K113" s="27">
        <f t="shared" si="3"/>
        <v>6524.9</v>
      </c>
      <c r="L113" s="27">
        <v>6524.9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38</v>
      </c>
      <c r="I114" s="2">
        <v>26</v>
      </c>
      <c r="J114" s="26">
        <v>29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22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15</v>
      </c>
      <c r="I116" s="2">
        <v>6</v>
      </c>
      <c r="J116" s="26">
        <v>6</v>
      </c>
      <c r="K116" s="27">
        <f t="shared" si="3"/>
        <v>7410.8</v>
      </c>
      <c r="L116" s="27">
        <v>7410.8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35</v>
      </c>
      <c r="I117" s="1">
        <v>26</v>
      </c>
      <c r="J117" s="26">
        <v>28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49157.07</v>
      </c>
      <c r="P117" s="27">
        <f>40874.75+8282.32</f>
        <v>49157.07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32</v>
      </c>
      <c r="I121" s="1">
        <v>22</v>
      </c>
      <c r="J121" s="26">
        <v>28</v>
      </c>
      <c r="K121" s="27">
        <f t="shared" si="3"/>
        <v>24449.19</v>
      </c>
      <c r="L121" s="27">
        <f>23252.01+1197.18</f>
        <v>24449.19</v>
      </c>
      <c r="M121" s="27"/>
      <c r="N121" s="1">
        <v>13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28</v>
      </c>
      <c r="I123" s="1">
        <v>13</v>
      </c>
      <c r="J123" s="26">
        <v>13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32</v>
      </c>
      <c r="I125" s="1">
        <v>8</v>
      </c>
      <c r="J125" s="26">
        <v>8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17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31</v>
      </c>
      <c r="I129" s="1">
        <v>21</v>
      </c>
      <c r="J129" s="26">
        <v>21</v>
      </c>
      <c r="K129" s="27">
        <f t="shared" si="3"/>
        <v>14700.02</v>
      </c>
      <c r="L129" s="27">
        <v>14700.02</v>
      </c>
      <c r="M129" s="27"/>
      <c r="N129" s="1">
        <v>10</v>
      </c>
      <c r="O129" s="27">
        <f t="shared" si="4"/>
        <v>48930.57</v>
      </c>
      <c r="P129" s="27">
        <f>46040.89+2290.6+599.08</f>
        <v>48930.57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64</v>
      </c>
      <c r="I131" s="1">
        <v>54</v>
      </c>
      <c r="J131" s="26">
        <v>56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25</v>
      </c>
      <c r="I133" s="1">
        <v>21</v>
      </c>
      <c r="J133" s="26">
        <v>24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31</v>
      </c>
      <c r="I135" s="1">
        <v>25</v>
      </c>
      <c r="J135" s="26">
        <v>31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26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48</v>
      </c>
      <c r="I136" s="1">
        <v>15</v>
      </c>
      <c r="J136" s="26">
        <v>15</v>
      </c>
      <c r="K136" s="27">
        <f t="shared" si="3"/>
        <v>2466.8000000000002</v>
      </c>
      <c r="L136" s="27">
        <v>2466.8000000000002</v>
      </c>
      <c r="M136" s="27"/>
      <c r="N136" s="1">
        <v>19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34</v>
      </c>
      <c r="I137" s="1">
        <v>22</v>
      </c>
      <c r="J137" s="26">
        <v>26</v>
      </c>
      <c r="K137" s="27">
        <f t="shared" si="3"/>
        <v>14801.52</v>
      </c>
      <c r="L137" s="27">
        <v>14801.52</v>
      </c>
      <c r="M137" s="27"/>
      <c r="N137" s="1">
        <v>16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10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35</v>
      </c>
      <c r="I140" s="1">
        <v>10</v>
      </c>
      <c r="J140" s="44">
        <v>11</v>
      </c>
      <c r="K140" s="27">
        <f t="shared" ref="K140:K203" si="5">L140+M140</f>
        <v>14009.8</v>
      </c>
      <c r="L140" s="27">
        <v>14009.8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26</v>
      </c>
      <c r="I141" s="1">
        <v>15</v>
      </c>
      <c r="J141" s="26">
        <v>15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18</v>
      </c>
      <c r="I142" s="1">
        <v>1</v>
      </c>
      <c r="J142" s="26">
        <v>1</v>
      </c>
      <c r="K142" s="27">
        <f t="shared" si="5"/>
        <v>552.29999999999995</v>
      </c>
      <c r="L142" s="27">
        <v>552.29999999999995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13</v>
      </c>
      <c r="J143" s="26">
        <v>13</v>
      </c>
      <c r="K143" s="27">
        <f t="shared" si="5"/>
        <v>9097.42</v>
      </c>
      <c r="L143" s="27">
        <f>2471.02+2848.63+3777.77</f>
        <v>9097.42</v>
      </c>
      <c r="M143" s="27"/>
      <c r="N143" s="1">
        <v>5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26</v>
      </c>
      <c r="I144" s="1">
        <v>21</v>
      </c>
      <c r="J144" s="26">
        <v>37</v>
      </c>
      <c r="K144" s="27">
        <f t="shared" si="5"/>
        <v>872.19</v>
      </c>
      <c r="L144" s="27">
        <v>872.19</v>
      </c>
      <c r="M144" s="27"/>
      <c r="N144" s="1">
        <v>24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14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20</v>
      </c>
      <c r="I149" s="1">
        <v>11</v>
      </c>
      <c r="J149" s="26">
        <v>12</v>
      </c>
      <c r="K149" s="27">
        <f t="shared" si="5"/>
        <v>6670.26</v>
      </c>
      <c r="L149" s="27">
        <f>2702.63+3967.63</f>
        <v>6670.26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26</v>
      </c>
      <c r="I151" s="1">
        <v>5</v>
      </c>
      <c r="J151" s="26">
        <v>5</v>
      </c>
      <c r="K151" s="27">
        <f t="shared" si="5"/>
        <v>12186.16</v>
      </c>
      <c r="L151" s="27">
        <v>12186.16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41</v>
      </c>
      <c r="I152" s="1">
        <v>30</v>
      </c>
      <c r="J152" s="26">
        <v>44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9</v>
      </c>
      <c r="I155" s="1">
        <v>6</v>
      </c>
      <c r="J155" s="26">
        <v>6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22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6</v>
      </c>
      <c r="O157" s="27">
        <f t="shared" si="6"/>
        <v>13975.1</v>
      </c>
      <c r="P157" s="27">
        <v>13975.1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12</v>
      </c>
      <c r="I158" s="1">
        <v>2</v>
      </c>
      <c r="J158" s="26">
        <v>2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27</v>
      </c>
      <c r="I160" s="1">
        <v>24</v>
      </c>
      <c r="J160" s="26">
        <v>25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21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24</v>
      </c>
      <c r="I169" s="1">
        <v>9</v>
      </c>
      <c r="J169" s="26">
        <v>9</v>
      </c>
      <c r="K169" s="27">
        <f t="shared" si="5"/>
        <v>8857.4</v>
      </c>
      <c r="L169" s="27">
        <v>8857.4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16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6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3</v>
      </c>
      <c r="J173" s="26">
        <v>3</v>
      </c>
      <c r="K173" s="27">
        <f t="shared" si="5"/>
        <v>1938.2</v>
      </c>
      <c r="L173" s="27">
        <v>1938.2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12</v>
      </c>
      <c r="I174" s="1">
        <v>10</v>
      </c>
      <c r="J174" s="26">
        <v>10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12</v>
      </c>
      <c r="I175" s="1">
        <v>4</v>
      </c>
      <c r="J175" s="26">
        <v>5</v>
      </c>
      <c r="K175" s="27">
        <f t="shared" si="5"/>
        <v>10188.35</v>
      </c>
      <c r="L175" s="27">
        <v>10188.35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15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14</v>
      </c>
      <c r="I181" s="2">
        <v>9</v>
      </c>
      <c r="J181" s="26">
        <v>9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51</v>
      </c>
      <c r="I182" s="1">
        <v>47</v>
      </c>
      <c r="J182" s="26">
        <v>47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21</v>
      </c>
      <c r="I183" s="1">
        <v>7</v>
      </c>
      <c r="J183" s="26">
        <v>7</v>
      </c>
      <c r="K183" s="27">
        <f t="shared" si="5"/>
        <v>6075.3</v>
      </c>
      <c r="L183" s="27">
        <v>6075.3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47</v>
      </c>
      <c r="I184" s="1">
        <v>29</v>
      </c>
      <c r="J184" s="26">
        <v>30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66</v>
      </c>
      <c r="I185" s="1">
        <v>59</v>
      </c>
      <c r="J185" s="26">
        <v>59</v>
      </c>
      <c r="K185" s="27">
        <f t="shared" si="5"/>
        <v>26917.5</v>
      </c>
      <c r="L185" s="27">
        <f>11917.66+14999.84</f>
        <v>26917.5</v>
      </c>
      <c r="M185" s="27"/>
      <c r="N185" s="1">
        <v>18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38</v>
      </c>
      <c r="I186" s="1">
        <v>12</v>
      </c>
      <c r="J186" s="44">
        <v>12</v>
      </c>
      <c r="K186" s="27">
        <f t="shared" si="5"/>
        <v>20645.599999999999</v>
      </c>
      <c r="L186" s="27">
        <v>20645.599999999999</v>
      </c>
      <c r="M186" s="27"/>
      <c r="N186" s="1">
        <v>19</v>
      </c>
      <c r="O186" s="27">
        <f t="shared" si="6"/>
        <v>30487.919999999998</v>
      </c>
      <c r="P186" s="27">
        <v>30487.919999999998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9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/>
      <c r="J188" s="26"/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17</v>
      </c>
      <c r="I189" s="38">
        <v>3</v>
      </c>
      <c r="J189" s="43">
        <v>3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3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37</v>
      </c>
      <c r="I191" s="1">
        <v>7</v>
      </c>
      <c r="J191" s="26">
        <v>8</v>
      </c>
      <c r="K191" s="27">
        <f t="shared" si="5"/>
        <v>27698.639999999999</v>
      </c>
      <c r="L191" s="27">
        <v>27698.639999999999</v>
      </c>
      <c r="M191" s="27"/>
      <c r="N191" s="1">
        <v>21</v>
      </c>
      <c r="O191" s="27">
        <f t="shared" si="6"/>
        <v>93568.56</v>
      </c>
      <c r="P191" s="27">
        <v>93568.56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11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12</v>
      </c>
      <c r="I193" s="2">
        <v>3</v>
      </c>
      <c r="J193" s="26">
        <v>3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33</v>
      </c>
      <c r="I194" s="2">
        <v>29</v>
      </c>
      <c r="J194" s="26">
        <v>30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50</v>
      </c>
      <c r="I199" s="1">
        <v>43</v>
      </c>
      <c r="J199" s="44">
        <v>44</v>
      </c>
      <c r="K199" s="27">
        <f t="shared" si="5"/>
        <v>44530.22</v>
      </c>
      <c r="L199" s="27">
        <f>39374.14+5156.08</f>
        <v>44530.22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29</v>
      </c>
      <c r="I201" s="1">
        <v>14</v>
      </c>
      <c r="J201" s="44">
        <v>15</v>
      </c>
      <c r="K201" s="27">
        <f t="shared" si="5"/>
        <v>13032.5</v>
      </c>
      <c r="L201" s="27">
        <f>10009.78+3022.72</f>
        <v>13032.5</v>
      </c>
      <c r="M201" s="27"/>
      <c r="N201" s="1">
        <v>25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2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4320.42</v>
      </c>
      <c r="L205" s="63">
        <f>4320.42</f>
        <v>4320.42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3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/>
      <c r="J207" s="51"/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3135</v>
      </c>
      <c r="I208" s="88">
        <f>SUM(I10:I207)</f>
        <v>1608</v>
      </c>
      <c r="J208" s="88">
        <f>SUM(J10:J207)</f>
        <v>1768</v>
      </c>
      <c r="K208" s="90">
        <f>SUM(K10:K207)</f>
        <v>1448722.1700000004</v>
      </c>
      <c r="L208" s="90">
        <f t="shared" ref="L208:M208" si="9">SUM(L10:L207)</f>
        <v>1448722.1700000004</v>
      </c>
      <c r="M208" s="88">
        <f t="shared" si="9"/>
        <v>0</v>
      </c>
      <c r="N208" s="88">
        <f>SUM(N10:N207)</f>
        <v>1167</v>
      </c>
      <c r="O208" s="90">
        <f>SUM(O10:O207)</f>
        <v>3339461.79</v>
      </c>
      <c r="P208" s="90">
        <f>SUM(P10:P207)</f>
        <v>3339461.79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R223"/>
  <sheetViews>
    <sheetView topLeftCell="A197" zoomScaleNormal="100" workbookViewId="0">
      <selection activeCell="H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29</v>
      </c>
      <c r="I11" s="1">
        <v>11</v>
      </c>
      <c r="J11" s="26">
        <v>11</v>
      </c>
      <c r="K11" s="27">
        <f t="shared" ref="K11:K75" si="1">L11+M11</f>
        <v>18067.2</v>
      </c>
      <c r="L11" s="27">
        <v>18067.2</v>
      </c>
      <c r="M11" s="27"/>
      <c r="N11" s="1">
        <v>17</v>
      </c>
      <c r="O11" s="27">
        <f t="shared" ref="O11:O75" si="2">P11+Q11</f>
        <v>74578.22</v>
      </c>
      <c r="P11" s="27">
        <v>74578.22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51</v>
      </c>
      <c r="I12" s="1">
        <v>18</v>
      </c>
      <c r="J12" s="26">
        <v>25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53</v>
      </c>
      <c r="I16" s="1">
        <v>45</v>
      </c>
      <c r="J16" s="26">
        <v>55</v>
      </c>
      <c r="K16" s="27">
        <f t="shared" si="1"/>
        <v>44323.94</v>
      </c>
      <c r="L16" s="27">
        <f>35564.14+8759.8</f>
        <v>44323.94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58</v>
      </c>
      <c r="I20" s="1">
        <v>43</v>
      </c>
      <c r="J20" s="26">
        <v>45</v>
      </c>
      <c r="K20" s="27">
        <f t="shared" si="1"/>
        <v>38815.240000000005</v>
      </c>
      <c r="L20" s="27">
        <f>32460.24+6355</f>
        <v>38815.240000000005</v>
      </c>
      <c r="M20" s="27"/>
      <c r="N20" s="1">
        <v>29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4</v>
      </c>
      <c r="J22" s="26">
        <v>4</v>
      </c>
      <c r="K22" s="27">
        <f t="shared" si="1"/>
        <v>4050.2</v>
      </c>
      <c r="L22" s="27">
        <v>4050.2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17</v>
      </c>
      <c r="I27" s="40">
        <v>3</v>
      </c>
      <c r="J27" s="43">
        <v>3</v>
      </c>
      <c r="K27" s="27">
        <f t="shared" si="1"/>
        <v>1104.5999999999999</v>
      </c>
      <c r="L27" s="39">
        <v>1104.5999999999999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3259.7</v>
      </c>
      <c r="P30" s="27">
        <v>3259.7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28</v>
      </c>
      <c r="I31" s="1">
        <v>18</v>
      </c>
      <c r="J31" s="26">
        <v>20</v>
      </c>
      <c r="K31" s="27">
        <f t="shared" si="1"/>
        <v>16408.98</v>
      </c>
      <c r="L31" s="27">
        <f>14723.62+1685.36</f>
        <v>16408.98</v>
      </c>
      <c r="M31" s="27"/>
      <c r="N31" s="1">
        <v>22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15</v>
      </c>
      <c r="I33" s="2">
        <v>4</v>
      </c>
      <c r="J33" s="26">
        <v>4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26</v>
      </c>
      <c r="I34" s="1">
        <v>16</v>
      </c>
      <c r="J34" s="26">
        <v>26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6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5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16</v>
      </c>
      <c r="I37" s="1">
        <v>1</v>
      </c>
      <c r="J37" s="26">
        <v>1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30457.22</v>
      </c>
      <c r="P38" s="27">
        <f>11156.02+2671.19+16630.01</f>
        <v>30457.22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3</v>
      </c>
      <c r="J39" s="26">
        <v>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27</v>
      </c>
      <c r="I40" s="1">
        <v>18</v>
      </c>
      <c r="J40" s="26">
        <v>20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20</v>
      </c>
      <c r="I41" s="2">
        <v>7</v>
      </c>
      <c r="J41" s="26">
        <v>7</v>
      </c>
      <c r="K41" s="27">
        <f t="shared" si="1"/>
        <v>5814.6</v>
      </c>
      <c r="L41" s="27">
        <v>5814.6</v>
      </c>
      <c r="M41" s="27"/>
      <c r="N41" s="2">
        <v>11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15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22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31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12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22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20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31</v>
      </c>
      <c r="I55" s="1">
        <v>17</v>
      </c>
      <c r="J55" s="26">
        <v>17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1</v>
      </c>
      <c r="J56" s="26">
        <v>1</v>
      </c>
      <c r="K56" s="27">
        <f t="shared" si="1"/>
        <v>2819.2</v>
      </c>
      <c r="L56" s="27">
        <v>2819.2</v>
      </c>
      <c r="M56" s="27"/>
      <c r="N56" s="2">
        <v>2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33</v>
      </c>
      <c r="I58" s="2">
        <v>5</v>
      </c>
      <c r="J58" s="26">
        <v>5</v>
      </c>
      <c r="K58" s="27">
        <f>L58+M58</f>
        <v>14109.4</v>
      </c>
      <c r="L58" s="27">
        <v>14109.4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51</v>
      </c>
      <c r="I61" s="26">
        <v>33</v>
      </c>
      <c r="J61" s="26">
        <v>33</v>
      </c>
      <c r="K61" s="27">
        <f t="shared" si="1"/>
        <v>26769.279999999999</v>
      </c>
      <c r="L61" s="83">
        <f>12981.51+2495.36+11292.41</f>
        <v>26769.279999999999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27</v>
      </c>
      <c r="J62" s="26">
        <v>27</v>
      </c>
      <c r="K62" s="27">
        <f t="shared" si="1"/>
        <v>35313.24</v>
      </c>
      <c r="L62" s="27">
        <f>26838.02+8475.22</f>
        <v>35313.24</v>
      </c>
      <c r="M62" s="27"/>
      <c r="N62" s="1">
        <v>20</v>
      </c>
      <c r="O62" s="27">
        <f t="shared" si="2"/>
        <v>28261.599999999999</v>
      </c>
      <c r="P62" s="27">
        <v>28261.599999999999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34</v>
      </c>
      <c r="I63" s="1">
        <v>23</v>
      </c>
      <c r="J63" s="26">
        <v>26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37111.350000000006</v>
      </c>
      <c r="P63" s="27">
        <v>37111.350000000006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6974.5</v>
      </c>
      <c r="L64" s="27">
        <v>6974.5</v>
      </c>
      <c r="M64" s="27"/>
      <c r="N64" s="1">
        <v>13</v>
      </c>
      <c r="O64" s="27">
        <f t="shared" si="2"/>
        <v>30561.599999999999</v>
      </c>
      <c r="P64" s="27">
        <v>30561.599999999999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23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17</v>
      </c>
      <c r="I68" s="1">
        <v>12</v>
      </c>
      <c r="J68" s="26">
        <v>12</v>
      </c>
      <c r="K68" s="27">
        <f t="shared" si="1"/>
        <v>14205.34</v>
      </c>
      <c r="L68" s="27">
        <f>14205.34</f>
        <v>14205.34</v>
      </c>
      <c r="M68" s="27"/>
      <c r="N68" s="1">
        <v>9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27</v>
      </c>
      <c r="I70" s="1">
        <v>15</v>
      </c>
      <c r="J70" s="26">
        <v>18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12</v>
      </c>
      <c r="I71" s="2">
        <v>4</v>
      </c>
      <c r="J71" s="26">
        <v>4</v>
      </c>
      <c r="K71" s="27">
        <f t="shared" si="1"/>
        <v>3171.6</v>
      </c>
      <c r="L71" s="27">
        <v>3171.6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30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48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42</v>
      </c>
      <c r="I75" s="1">
        <v>37</v>
      </c>
      <c r="J75" s="26">
        <v>38</v>
      </c>
      <c r="K75" s="27">
        <f t="shared" si="1"/>
        <v>24402.11</v>
      </c>
      <c r="L75" s="27">
        <f>24129.81+272.3</f>
        <v>24402.11</v>
      </c>
      <c r="M75" s="27"/>
      <c r="N75" s="1">
        <v>10</v>
      </c>
      <c r="O75" s="27">
        <f t="shared" si="2"/>
        <v>33169.909999999996</v>
      </c>
      <c r="P75" s="27">
        <f>31150.39+2019.52</f>
        <v>33169.909999999996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3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13</v>
      </c>
      <c r="I77" s="1">
        <v>4</v>
      </c>
      <c r="J77" s="26">
        <v>4</v>
      </c>
      <c r="K77" s="27">
        <f t="shared" si="3"/>
        <v>6200.7</v>
      </c>
      <c r="L77" s="27">
        <v>6200.7</v>
      </c>
      <c r="M77" s="27"/>
      <c r="N77" s="1">
        <v>9</v>
      </c>
      <c r="O77" s="27">
        <f t="shared" si="4"/>
        <v>42935.74</v>
      </c>
      <c r="P77" s="27">
        <v>42935.74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6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21</v>
      </c>
      <c r="I79" s="1">
        <v>16</v>
      </c>
      <c r="J79" s="26">
        <v>16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29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13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15</v>
      </c>
      <c r="I82" s="1">
        <v>3</v>
      </c>
      <c r="J82" s="26">
        <v>3</v>
      </c>
      <c r="K82" s="27">
        <f t="shared" si="3"/>
        <v>2025.1</v>
      </c>
      <c r="L82" s="27">
        <v>2025.1</v>
      </c>
      <c r="M82" s="27"/>
      <c r="N82" s="1">
        <v>14</v>
      </c>
      <c r="O82" s="27">
        <f t="shared" si="4"/>
        <v>16465.599999999999</v>
      </c>
      <c r="P82" s="27">
        <v>16465.599999999999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16</v>
      </c>
      <c r="J83" s="26">
        <v>16</v>
      </c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94</v>
      </c>
      <c r="I85" s="1">
        <v>47</v>
      </c>
      <c r="J85" s="26">
        <v>47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9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45</v>
      </c>
      <c r="I89" s="1">
        <v>41</v>
      </c>
      <c r="J89" s="26">
        <v>42</v>
      </c>
      <c r="K89" s="27">
        <f t="shared" si="3"/>
        <v>40111.32</v>
      </c>
      <c r="L89" s="27">
        <f>34327.04+5784.28</f>
        <v>40111.32</v>
      </c>
      <c r="M89" s="27"/>
      <c r="N89" s="1">
        <v>17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13</v>
      </c>
      <c r="I98" s="1">
        <v>12</v>
      </c>
      <c r="J98" s="26">
        <v>13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2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32</v>
      </c>
      <c r="I104" s="1">
        <v>19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10</v>
      </c>
      <c r="O104" s="27">
        <f t="shared" si="4"/>
        <v>38525.03</v>
      </c>
      <c r="P104" s="27">
        <f>34082.68+4442.35</f>
        <v>38525.03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21</v>
      </c>
      <c r="I105" s="1">
        <v>12</v>
      </c>
      <c r="J105" s="26">
        <v>13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35</v>
      </c>
      <c r="I107" s="1">
        <v>8</v>
      </c>
      <c r="J107" s="26">
        <v>8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23</v>
      </c>
      <c r="I108" s="1">
        <v>19</v>
      </c>
      <c r="J108" s="26">
        <v>23</v>
      </c>
      <c r="K108" s="27">
        <f t="shared" si="3"/>
        <v>12885.23</v>
      </c>
      <c r="L108" s="27">
        <f>10653.08+2232.15</f>
        <v>12885.23</v>
      </c>
      <c r="M108" s="27"/>
      <c r="N108" s="1">
        <v>24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39</v>
      </c>
      <c r="I109" s="1">
        <v>7</v>
      </c>
      <c r="J109" s="26">
        <v>7</v>
      </c>
      <c r="K109" s="27">
        <f t="shared" si="3"/>
        <v>0</v>
      </c>
      <c r="L109" s="27"/>
      <c r="M109" s="27"/>
      <c r="N109" s="1">
        <v>21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38</v>
      </c>
      <c r="I110" s="2">
        <v>22</v>
      </c>
      <c r="J110" s="26">
        <v>22</v>
      </c>
      <c r="K110" s="27">
        <f t="shared" si="3"/>
        <v>10153.620000000001</v>
      </c>
      <c r="L110" s="27">
        <v>10153.620000000001</v>
      </c>
      <c r="M110" s="27"/>
      <c r="N110" s="2">
        <v>32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14</v>
      </c>
      <c r="I113" s="2">
        <v>4</v>
      </c>
      <c r="J113" s="26">
        <v>4</v>
      </c>
      <c r="K113" s="27">
        <f t="shared" si="3"/>
        <v>6524.9</v>
      </c>
      <c r="L113" s="27">
        <v>6524.9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38</v>
      </c>
      <c r="I114" s="2">
        <v>26</v>
      </c>
      <c r="J114" s="26">
        <v>29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22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15</v>
      </c>
      <c r="I116" s="2">
        <v>7</v>
      </c>
      <c r="J116" s="26">
        <v>7</v>
      </c>
      <c r="K116" s="27">
        <f t="shared" si="3"/>
        <v>7410.8</v>
      </c>
      <c r="L116" s="27">
        <v>7410.8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37</v>
      </c>
      <c r="I117" s="1">
        <v>26</v>
      </c>
      <c r="J117" s="26">
        <v>28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49157.07</v>
      </c>
      <c r="P117" s="27">
        <f>40874.75+8282.32</f>
        <v>49157.07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32</v>
      </c>
      <c r="I121" s="1">
        <v>22</v>
      </c>
      <c r="J121" s="26">
        <v>28</v>
      </c>
      <c r="K121" s="27">
        <f t="shared" si="3"/>
        <v>24449.19</v>
      </c>
      <c r="L121" s="27">
        <f>23252.01+1197.18</f>
        <v>24449.19</v>
      </c>
      <c r="M121" s="27"/>
      <c r="N121" s="1">
        <v>13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29</v>
      </c>
      <c r="I123" s="1">
        <v>13</v>
      </c>
      <c r="J123" s="26">
        <v>13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33</v>
      </c>
      <c r="I125" s="1">
        <v>9</v>
      </c>
      <c r="J125" s="26">
        <v>9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19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31</v>
      </c>
      <c r="I129" s="1">
        <v>21</v>
      </c>
      <c r="J129" s="26">
        <v>21</v>
      </c>
      <c r="K129" s="27">
        <f t="shared" si="3"/>
        <v>14700.02</v>
      </c>
      <c r="L129" s="27">
        <v>14700.02</v>
      </c>
      <c r="M129" s="27"/>
      <c r="N129" s="1">
        <v>10</v>
      </c>
      <c r="O129" s="27">
        <f t="shared" si="4"/>
        <v>48930.57</v>
      </c>
      <c r="P129" s="27">
        <f>46040.89+2290.6+599.08</f>
        <v>48930.57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64</v>
      </c>
      <c r="I131" s="1">
        <v>54</v>
      </c>
      <c r="J131" s="26">
        <v>56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26</v>
      </c>
      <c r="I133" s="1">
        <v>21</v>
      </c>
      <c r="J133" s="26">
        <v>24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32</v>
      </c>
      <c r="I135" s="1">
        <v>25</v>
      </c>
      <c r="J135" s="26">
        <v>31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26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49</v>
      </c>
      <c r="I136" s="1">
        <v>15</v>
      </c>
      <c r="J136" s="26">
        <v>15</v>
      </c>
      <c r="K136" s="27">
        <f t="shared" si="3"/>
        <v>2466.8000000000002</v>
      </c>
      <c r="L136" s="27">
        <v>2466.8000000000002</v>
      </c>
      <c r="M136" s="27"/>
      <c r="N136" s="1">
        <v>19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35</v>
      </c>
      <c r="I137" s="1">
        <v>22</v>
      </c>
      <c r="J137" s="26">
        <v>26</v>
      </c>
      <c r="K137" s="27">
        <f t="shared" si="3"/>
        <v>14801.52</v>
      </c>
      <c r="L137" s="27">
        <v>14801.52</v>
      </c>
      <c r="M137" s="27"/>
      <c r="N137" s="1">
        <v>16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10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37</v>
      </c>
      <c r="I140" s="1">
        <v>10</v>
      </c>
      <c r="J140" s="44">
        <v>11</v>
      </c>
      <c r="K140" s="27">
        <f t="shared" ref="K140:K203" si="5">L140+M140</f>
        <v>14009.8</v>
      </c>
      <c r="L140" s="27">
        <v>14009.8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25</v>
      </c>
      <c r="I141" s="1">
        <v>15</v>
      </c>
      <c r="J141" s="26">
        <v>15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20</v>
      </c>
      <c r="I142" s="1">
        <v>1</v>
      </c>
      <c r="J142" s="26">
        <v>1</v>
      </c>
      <c r="K142" s="27">
        <f t="shared" si="5"/>
        <v>552.29999999999995</v>
      </c>
      <c r="L142" s="27">
        <v>552.29999999999995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13</v>
      </c>
      <c r="J143" s="26">
        <v>13</v>
      </c>
      <c r="K143" s="27">
        <f t="shared" si="5"/>
        <v>9097.42</v>
      </c>
      <c r="L143" s="27">
        <f>2471.02+2848.63+3777.77</f>
        <v>9097.42</v>
      </c>
      <c r="M143" s="27"/>
      <c r="N143" s="1">
        <v>5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26</v>
      </c>
      <c r="I144" s="1">
        <v>21</v>
      </c>
      <c r="J144" s="26">
        <v>37</v>
      </c>
      <c r="K144" s="27">
        <f t="shared" si="5"/>
        <v>872.19</v>
      </c>
      <c r="L144" s="27">
        <v>872.19</v>
      </c>
      <c r="M144" s="27"/>
      <c r="N144" s="1">
        <v>24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15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21</v>
      </c>
      <c r="I149" s="1">
        <v>11</v>
      </c>
      <c r="J149" s="26">
        <v>12</v>
      </c>
      <c r="K149" s="27">
        <f t="shared" si="5"/>
        <v>6670.26</v>
      </c>
      <c r="L149" s="27">
        <f>2702.63+3967.63</f>
        <v>6670.26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27</v>
      </c>
      <c r="I151" s="1">
        <v>6</v>
      </c>
      <c r="J151" s="26">
        <v>8</v>
      </c>
      <c r="K151" s="27">
        <f t="shared" si="5"/>
        <v>12186.16</v>
      </c>
      <c r="L151" s="27">
        <v>12186.16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41</v>
      </c>
      <c r="I152" s="1">
        <v>30</v>
      </c>
      <c r="J152" s="26">
        <v>44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9</v>
      </c>
      <c r="I155" s="1">
        <v>6</v>
      </c>
      <c r="J155" s="26">
        <v>6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23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13975.1</v>
      </c>
      <c r="P157" s="27">
        <v>13975.1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13</v>
      </c>
      <c r="I158" s="1">
        <v>2</v>
      </c>
      <c r="J158" s="26">
        <v>2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27</v>
      </c>
      <c r="I160" s="1">
        <v>24</v>
      </c>
      <c r="J160" s="26">
        <v>25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22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24</v>
      </c>
      <c r="I169" s="1">
        <v>9</v>
      </c>
      <c r="J169" s="26">
        <v>9</v>
      </c>
      <c r="K169" s="27">
        <f t="shared" si="5"/>
        <v>8857.4</v>
      </c>
      <c r="L169" s="27">
        <v>8857.4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16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6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3</v>
      </c>
      <c r="J173" s="26">
        <v>3</v>
      </c>
      <c r="K173" s="27">
        <f t="shared" si="5"/>
        <v>1938.2</v>
      </c>
      <c r="L173" s="27">
        <v>1938.2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13</v>
      </c>
      <c r="I174" s="1">
        <v>10</v>
      </c>
      <c r="J174" s="26">
        <v>10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13</v>
      </c>
      <c r="I175" s="1">
        <v>5</v>
      </c>
      <c r="J175" s="26">
        <v>6</v>
      </c>
      <c r="K175" s="27">
        <f t="shared" si="5"/>
        <v>10188.35</v>
      </c>
      <c r="L175" s="27">
        <v>10188.35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15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14</v>
      </c>
      <c r="I181" s="2">
        <v>9</v>
      </c>
      <c r="J181" s="26">
        <v>9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51</v>
      </c>
      <c r="I182" s="1">
        <v>47</v>
      </c>
      <c r="J182" s="26">
        <v>47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21</v>
      </c>
      <c r="I183" s="1">
        <v>7</v>
      </c>
      <c r="J183" s="26">
        <v>7</v>
      </c>
      <c r="K183" s="27">
        <f t="shared" si="5"/>
        <v>6075.3</v>
      </c>
      <c r="L183" s="27">
        <v>6075.3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48</v>
      </c>
      <c r="I184" s="1">
        <v>29</v>
      </c>
      <c r="J184" s="26">
        <v>30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70</v>
      </c>
      <c r="I185" s="1">
        <v>59</v>
      </c>
      <c r="J185" s="26">
        <v>59</v>
      </c>
      <c r="K185" s="27">
        <f t="shared" si="5"/>
        <v>26917.5</v>
      </c>
      <c r="L185" s="27">
        <f>11917.66+14999.84</f>
        <v>26917.5</v>
      </c>
      <c r="M185" s="27"/>
      <c r="N185" s="1">
        <v>18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38</v>
      </c>
      <c r="I186" s="1">
        <v>12</v>
      </c>
      <c r="J186" s="44">
        <v>12</v>
      </c>
      <c r="K186" s="27">
        <f t="shared" si="5"/>
        <v>20645.599999999999</v>
      </c>
      <c r="L186" s="27">
        <v>20645.599999999999</v>
      </c>
      <c r="M186" s="27"/>
      <c r="N186" s="1">
        <v>19</v>
      </c>
      <c r="O186" s="27">
        <f t="shared" si="6"/>
        <v>30487.919999999998</v>
      </c>
      <c r="P186" s="27">
        <v>30487.919999999998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/>
      <c r="J188" s="26"/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17</v>
      </c>
      <c r="I189" s="38">
        <v>3</v>
      </c>
      <c r="J189" s="43">
        <v>3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3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37</v>
      </c>
      <c r="I191" s="1">
        <v>7</v>
      </c>
      <c r="J191" s="26">
        <v>8</v>
      </c>
      <c r="K191" s="27">
        <f t="shared" si="5"/>
        <v>27698.639999999999</v>
      </c>
      <c r="L191" s="27">
        <v>27698.639999999999</v>
      </c>
      <c r="M191" s="27"/>
      <c r="N191" s="1">
        <v>21</v>
      </c>
      <c r="O191" s="27">
        <f t="shared" si="6"/>
        <v>93568.56</v>
      </c>
      <c r="P191" s="27">
        <v>93568.56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11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12</v>
      </c>
      <c r="I193" s="2">
        <v>3</v>
      </c>
      <c r="J193" s="26">
        <v>3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36</v>
      </c>
      <c r="I194" s="2">
        <v>29</v>
      </c>
      <c r="J194" s="26">
        <v>30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51</v>
      </c>
      <c r="I199" s="1">
        <v>43</v>
      </c>
      <c r="J199" s="44">
        <v>44</v>
      </c>
      <c r="K199" s="27">
        <f t="shared" si="5"/>
        <v>44530.22</v>
      </c>
      <c r="L199" s="27">
        <f>39374.14+5156.08</f>
        <v>44530.22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30</v>
      </c>
      <c r="I201" s="1">
        <v>14</v>
      </c>
      <c r="J201" s="44">
        <v>15</v>
      </c>
      <c r="K201" s="27">
        <f t="shared" si="5"/>
        <v>13032.5</v>
      </c>
      <c r="L201" s="27">
        <f>10009.78+3022.72</f>
        <v>13032.5</v>
      </c>
      <c r="M201" s="27"/>
      <c r="N201" s="1">
        <v>25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3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4320.42</v>
      </c>
      <c r="L205" s="63">
        <f>4320.42</f>
        <v>4320.42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/>
      <c r="J207" s="51"/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3205</v>
      </c>
      <c r="I208" s="88">
        <f>SUM(I10:I207)</f>
        <v>1632</v>
      </c>
      <c r="J208" s="88">
        <f>SUM(J10:J207)</f>
        <v>1794</v>
      </c>
      <c r="K208" s="90">
        <f>SUM(K10:K207)</f>
        <v>1448722.1700000004</v>
      </c>
      <c r="L208" s="90">
        <f t="shared" ref="L208:M208" si="9">SUM(L10:L207)</f>
        <v>1448722.1700000004</v>
      </c>
      <c r="M208" s="88">
        <f t="shared" si="9"/>
        <v>0</v>
      </c>
      <c r="N208" s="88">
        <f>SUM(N10:N207)</f>
        <v>1170</v>
      </c>
      <c r="O208" s="90">
        <f>SUM(O10:O207)</f>
        <v>3339461.79</v>
      </c>
      <c r="P208" s="90">
        <f>SUM(P10:P207)</f>
        <v>3339461.79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R223"/>
  <sheetViews>
    <sheetView topLeftCell="A193" zoomScale="82" zoomScaleNormal="82" workbookViewId="0">
      <selection activeCell="H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31</v>
      </c>
      <c r="I11" s="1">
        <v>11</v>
      </c>
      <c r="J11" s="26">
        <v>11</v>
      </c>
      <c r="K11" s="27">
        <f t="shared" ref="K11:K75" si="1">L11+M11</f>
        <v>18067.2</v>
      </c>
      <c r="L11" s="27">
        <v>18067.2</v>
      </c>
      <c r="M11" s="27"/>
      <c r="N11" s="1">
        <v>17</v>
      </c>
      <c r="O11" s="27">
        <f t="shared" ref="O11:O75" si="2">P11+Q11</f>
        <v>74578.22</v>
      </c>
      <c r="P11" s="27">
        <v>74578.22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51</v>
      </c>
      <c r="I12" s="1">
        <v>18</v>
      </c>
      <c r="J12" s="26">
        <v>25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55</v>
      </c>
      <c r="I16" s="1">
        <v>49</v>
      </c>
      <c r="J16" s="26">
        <v>60</v>
      </c>
      <c r="K16" s="27">
        <f t="shared" si="1"/>
        <v>44323.94</v>
      </c>
      <c r="L16" s="27">
        <f>35564.14+8759.8</f>
        <v>44323.94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59</v>
      </c>
      <c r="I20" s="1">
        <v>43</v>
      </c>
      <c r="J20" s="26">
        <v>45</v>
      </c>
      <c r="K20" s="27">
        <f t="shared" si="1"/>
        <v>38815.240000000005</v>
      </c>
      <c r="L20" s="27">
        <f>32460.24+6355</f>
        <v>38815.240000000005</v>
      </c>
      <c r="M20" s="27"/>
      <c r="N20" s="1">
        <v>29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2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5</v>
      </c>
      <c r="J22" s="26">
        <v>5</v>
      </c>
      <c r="K22" s="27">
        <f t="shared" si="1"/>
        <v>4050.2</v>
      </c>
      <c r="L22" s="27">
        <v>4050.2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19</v>
      </c>
      <c r="I27" s="40">
        <v>5</v>
      </c>
      <c r="J27" s="43">
        <v>5</v>
      </c>
      <c r="K27" s="27">
        <f t="shared" si="1"/>
        <v>1104.5999999999999</v>
      </c>
      <c r="L27" s="39">
        <v>1104.5999999999999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3259.7</v>
      </c>
      <c r="P30" s="27">
        <v>3259.7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31</v>
      </c>
      <c r="I31" s="1">
        <v>18</v>
      </c>
      <c r="J31" s="26">
        <v>20</v>
      </c>
      <c r="K31" s="27">
        <f t="shared" si="1"/>
        <v>16408.98</v>
      </c>
      <c r="L31" s="27">
        <f>14723.62+1685.36</f>
        <v>16408.98</v>
      </c>
      <c r="M31" s="27"/>
      <c r="N31" s="1">
        <v>22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15</v>
      </c>
      <c r="I33" s="2">
        <v>4</v>
      </c>
      <c r="J33" s="26">
        <v>4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26</v>
      </c>
      <c r="I34" s="1">
        <v>20</v>
      </c>
      <c r="J34" s="26">
        <v>32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6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16</v>
      </c>
      <c r="I37" s="1">
        <v>1</v>
      </c>
      <c r="J37" s="26">
        <v>1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30457.22</v>
      </c>
      <c r="P38" s="27">
        <f>11156.02+2671.19+16630.01</f>
        <v>30457.22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3</v>
      </c>
      <c r="J39" s="26">
        <v>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27</v>
      </c>
      <c r="I40" s="1">
        <v>22</v>
      </c>
      <c r="J40" s="26">
        <v>24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20</v>
      </c>
      <c r="I41" s="2">
        <v>7</v>
      </c>
      <c r="J41" s="26">
        <v>7</v>
      </c>
      <c r="K41" s="27">
        <f t="shared" si="1"/>
        <v>5814.6</v>
      </c>
      <c r="L41" s="27">
        <v>5814.6</v>
      </c>
      <c r="M41" s="27"/>
      <c r="N41" s="2">
        <v>11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18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22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33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12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23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21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31</v>
      </c>
      <c r="I55" s="1">
        <v>17</v>
      </c>
      <c r="J55" s="26">
        <v>17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1</v>
      </c>
      <c r="J56" s="26">
        <v>1</v>
      </c>
      <c r="K56" s="27">
        <f t="shared" si="1"/>
        <v>2819.2</v>
      </c>
      <c r="L56" s="27">
        <v>2819.2</v>
      </c>
      <c r="M56" s="27"/>
      <c r="N56" s="2">
        <v>2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34</v>
      </c>
      <c r="I58" s="2">
        <v>5</v>
      </c>
      <c r="J58" s="26">
        <v>5</v>
      </c>
      <c r="K58" s="27">
        <f>L58+M58</f>
        <v>14109.4</v>
      </c>
      <c r="L58" s="27">
        <v>14109.4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51</v>
      </c>
      <c r="I61" s="26">
        <v>33</v>
      </c>
      <c r="J61" s="26">
        <v>33</v>
      </c>
      <c r="K61" s="27">
        <f t="shared" si="1"/>
        <v>26769.279999999999</v>
      </c>
      <c r="L61" s="83">
        <f>12981.51+2495.36+11292.41</f>
        <v>26769.279999999999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30</v>
      </c>
      <c r="J62" s="26">
        <v>30</v>
      </c>
      <c r="K62" s="27">
        <f t="shared" si="1"/>
        <v>35313.24</v>
      </c>
      <c r="L62" s="27">
        <f>26838.02+8475.22</f>
        <v>35313.24</v>
      </c>
      <c r="M62" s="27"/>
      <c r="N62" s="1">
        <v>21</v>
      </c>
      <c r="O62" s="27">
        <f t="shared" si="2"/>
        <v>28261.599999999999</v>
      </c>
      <c r="P62" s="27">
        <v>28261.599999999999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34</v>
      </c>
      <c r="I63" s="1">
        <v>23</v>
      </c>
      <c r="J63" s="26">
        <v>26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37111.350000000006</v>
      </c>
      <c r="P63" s="27">
        <v>37111.350000000006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6974.5</v>
      </c>
      <c r="L64" s="27">
        <v>6974.5</v>
      </c>
      <c r="M64" s="27"/>
      <c r="N64" s="1">
        <v>13</v>
      </c>
      <c r="O64" s="27">
        <f t="shared" si="2"/>
        <v>30561.599999999999</v>
      </c>
      <c r="P64" s="27">
        <v>30561.599999999999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23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17</v>
      </c>
      <c r="I68" s="1">
        <v>12</v>
      </c>
      <c r="J68" s="26">
        <v>12</v>
      </c>
      <c r="K68" s="27">
        <f t="shared" si="1"/>
        <v>14205.34</v>
      </c>
      <c r="L68" s="27">
        <f>14205.34</f>
        <v>14205.34</v>
      </c>
      <c r="M68" s="27"/>
      <c r="N68" s="1">
        <v>9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29</v>
      </c>
      <c r="I70" s="1">
        <v>15</v>
      </c>
      <c r="J70" s="26">
        <v>18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14</v>
      </c>
      <c r="I71" s="2">
        <v>4</v>
      </c>
      <c r="J71" s="26">
        <v>4</v>
      </c>
      <c r="K71" s="27">
        <f t="shared" si="1"/>
        <v>3171.6</v>
      </c>
      <c r="L71" s="27">
        <v>3171.6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32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50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42</v>
      </c>
      <c r="I75" s="1">
        <v>37</v>
      </c>
      <c r="J75" s="26">
        <v>38</v>
      </c>
      <c r="K75" s="27">
        <f t="shared" si="1"/>
        <v>24402.11</v>
      </c>
      <c r="L75" s="27">
        <f>24129.81+272.3</f>
        <v>24402.11</v>
      </c>
      <c r="M75" s="27"/>
      <c r="N75" s="1">
        <v>10</v>
      </c>
      <c r="O75" s="27">
        <f t="shared" si="2"/>
        <v>33169.909999999996</v>
      </c>
      <c r="P75" s="27">
        <f>31150.39+2019.52</f>
        <v>33169.909999999996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3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14</v>
      </c>
      <c r="I77" s="1">
        <v>4</v>
      </c>
      <c r="J77" s="26">
        <v>4</v>
      </c>
      <c r="K77" s="27">
        <f t="shared" si="3"/>
        <v>6200.7</v>
      </c>
      <c r="L77" s="27">
        <v>6200.7</v>
      </c>
      <c r="M77" s="27"/>
      <c r="N77" s="1">
        <v>9</v>
      </c>
      <c r="O77" s="27">
        <f t="shared" si="4"/>
        <v>42935.74</v>
      </c>
      <c r="P77" s="27">
        <v>42935.74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22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29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13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15</v>
      </c>
      <c r="I82" s="1">
        <v>3</v>
      </c>
      <c r="J82" s="26">
        <v>3</v>
      </c>
      <c r="K82" s="27">
        <f t="shared" si="3"/>
        <v>2025.1</v>
      </c>
      <c r="L82" s="27">
        <v>2025.1</v>
      </c>
      <c r="M82" s="27"/>
      <c r="N82" s="1">
        <v>14</v>
      </c>
      <c r="O82" s="27">
        <f t="shared" si="4"/>
        <v>16465.599999999999</v>
      </c>
      <c r="P82" s="27">
        <v>16465.599999999999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18</v>
      </c>
      <c r="J83" s="26">
        <v>18</v>
      </c>
      <c r="K83" s="27">
        <f t="shared" si="3"/>
        <v>0</v>
      </c>
      <c r="L83" s="27"/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95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14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46</v>
      </c>
      <c r="I89" s="1">
        <v>43</v>
      </c>
      <c r="J89" s="26">
        <v>44</v>
      </c>
      <c r="K89" s="27">
        <f t="shared" si="3"/>
        <v>40111.32</v>
      </c>
      <c r="L89" s="27">
        <f>34327.04+5784.28</f>
        <v>40111.32</v>
      </c>
      <c r="M89" s="27"/>
      <c r="N89" s="1">
        <v>18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13</v>
      </c>
      <c r="I98" s="1">
        <v>12</v>
      </c>
      <c r="J98" s="26">
        <v>13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32</v>
      </c>
      <c r="I104" s="1">
        <v>20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11</v>
      </c>
      <c r="O104" s="27">
        <f t="shared" si="4"/>
        <v>38525.03</v>
      </c>
      <c r="P104" s="27">
        <f>34082.68+4442.35</f>
        <v>38525.03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22</v>
      </c>
      <c r="I105" s="1">
        <v>14</v>
      </c>
      <c r="J105" s="26">
        <v>15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35</v>
      </c>
      <c r="I107" s="1">
        <v>8</v>
      </c>
      <c r="J107" s="26">
        <v>8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24</v>
      </c>
      <c r="I108" s="1">
        <v>19</v>
      </c>
      <c r="J108" s="26">
        <v>24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41</v>
      </c>
      <c r="I109" s="1">
        <v>7</v>
      </c>
      <c r="J109" s="26">
        <v>7</v>
      </c>
      <c r="K109" s="27">
        <f t="shared" si="3"/>
        <v>0</v>
      </c>
      <c r="L109" s="27"/>
      <c r="M109" s="27"/>
      <c r="N109" s="1">
        <v>21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40</v>
      </c>
      <c r="I110" s="2">
        <v>22</v>
      </c>
      <c r="J110" s="26">
        <v>22</v>
      </c>
      <c r="K110" s="27">
        <f t="shared" si="3"/>
        <v>10153.620000000001</v>
      </c>
      <c r="L110" s="27">
        <v>10153.620000000001</v>
      </c>
      <c r="M110" s="27"/>
      <c r="N110" s="2">
        <v>32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15</v>
      </c>
      <c r="I113" s="2">
        <v>4</v>
      </c>
      <c r="J113" s="26">
        <v>4</v>
      </c>
      <c r="K113" s="27">
        <f t="shared" si="3"/>
        <v>6524.9</v>
      </c>
      <c r="L113" s="27">
        <v>6524.9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38</v>
      </c>
      <c r="I114" s="2">
        <v>26</v>
      </c>
      <c r="J114" s="26">
        <v>30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22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15</v>
      </c>
      <c r="I116" s="2">
        <v>7</v>
      </c>
      <c r="J116" s="26">
        <v>7</v>
      </c>
      <c r="K116" s="27">
        <f t="shared" si="3"/>
        <v>7410.8</v>
      </c>
      <c r="L116" s="27">
        <v>7410.8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37</v>
      </c>
      <c r="I117" s="1">
        <v>31</v>
      </c>
      <c r="J117" s="26">
        <v>33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49157.07</v>
      </c>
      <c r="P117" s="27">
        <f>40874.75+8282.32</f>
        <v>49157.07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34</v>
      </c>
      <c r="I121" s="1">
        <v>25</v>
      </c>
      <c r="J121" s="26">
        <v>30</v>
      </c>
      <c r="K121" s="27">
        <f t="shared" si="3"/>
        <v>24449.19</v>
      </c>
      <c r="L121" s="27">
        <f>23252.01+1197.18</f>
        <v>24449.19</v>
      </c>
      <c r="M121" s="27"/>
      <c r="N121" s="1">
        <v>14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31</v>
      </c>
      <c r="I123" s="1">
        <v>15</v>
      </c>
      <c r="J123" s="26">
        <v>15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36</v>
      </c>
      <c r="I125" s="1">
        <v>9</v>
      </c>
      <c r="J125" s="26">
        <v>9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19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31</v>
      </c>
      <c r="I129" s="1">
        <v>28</v>
      </c>
      <c r="J129" s="26">
        <v>28</v>
      </c>
      <c r="K129" s="27">
        <f t="shared" si="3"/>
        <v>14700.02</v>
      </c>
      <c r="L129" s="27">
        <v>14700.02</v>
      </c>
      <c r="M129" s="27"/>
      <c r="N129" s="1">
        <v>11</v>
      </c>
      <c r="O129" s="27">
        <f t="shared" si="4"/>
        <v>48930.57</v>
      </c>
      <c r="P129" s="27">
        <f>46040.89+2290.6+599.08</f>
        <v>48930.57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65</v>
      </c>
      <c r="I131" s="1">
        <v>54</v>
      </c>
      <c r="J131" s="26">
        <v>56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26</v>
      </c>
      <c r="I133" s="1">
        <v>21</v>
      </c>
      <c r="J133" s="26">
        <v>24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32</v>
      </c>
      <c r="I135" s="1">
        <v>25</v>
      </c>
      <c r="J135" s="26">
        <v>31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26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49</v>
      </c>
      <c r="I136" s="1">
        <v>15</v>
      </c>
      <c r="J136" s="26">
        <v>15</v>
      </c>
      <c r="K136" s="27">
        <f t="shared" si="3"/>
        <v>2466.8000000000002</v>
      </c>
      <c r="L136" s="27">
        <v>2466.8000000000002</v>
      </c>
      <c r="M136" s="27"/>
      <c r="N136" s="1">
        <v>19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35</v>
      </c>
      <c r="I137" s="1">
        <v>22</v>
      </c>
      <c r="J137" s="26">
        <v>26</v>
      </c>
      <c r="K137" s="27">
        <f t="shared" si="3"/>
        <v>14801.52</v>
      </c>
      <c r="L137" s="27">
        <v>14801.52</v>
      </c>
      <c r="M137" s="27"/>
      <c r="N137" s="1">
        <v>16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37</v>
      </c>
      <c r="I140" s="1">
        <v>10</v>
      </c>
      <c r="J140" s="44">
        <v>11</v>
      </c>
      <c r="K140" s="27">
        <f t="shared" ref="K140:K203" si="5">L140+M140</f>
        <v>14009.8</v>
      </c>
      <c r="L140" s="27">
        <v>14009.8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27</v>
      </c>
      <c r="I141" s="1">
        <v>16</v>
      </c>
      <c r="J141" s="26">
        <v>16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20</v>
      </c>
      <c r="I142" s="1">
        <v>1</v>
      </c>
      <c r="J142" s="26">
        <v>1</v>
      </c>
      <c r="K142" s="27">
        <f t="shared" si="5"/>
        <v>552.29999999999995</v>
      </c>
      <c r="L142" s="27">
        <v>552.29999999999995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27</v>
      </c>
      <c r="I144" s="1">
        <v>22</v>
      </c>
      <c r="J144" s="26">
        <v>39</v>
      </c>
      <c r="K144" s="27">
        <f t="shared" si="5"/>
        <v>872.19</v>
      </c>
      <c r="L144" s="27">
        <v>872.19</v>
      </c>
      <c r="M144" s="27"/>
      <c r="N144" s="1">
        <v>24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15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22</v>
      </c>
      <c r="I149" s="1">
        <v>11</v>
      </c>
      <c r="J149" s="26">
        <v>12</v>
      </c>
      <c r="K149" s="27">
        <f t="shared" si="5"/>
        <v>6670.26</v>
      </c>
      <c r="L149" s="27">
        <f>2702.63+3967.63</f>
        <v>6670.26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27</v>
      </c>
      <c r="I151" s="1">
        <v>6</v>
      </c>
      <c r="J151" s="26">
        <v>8</v>
      </c>
      <c r="K151" s="27">
        <f t="shared" si="5"/>
        <v>12186.16</v>
      </c>
      <c r="L151" s="27">
        <v>12186.16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41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10</v>
      </c>
      <c r="I155" s="1">
        <v>6</v>
      </c>
      <c r="J155" s="26">
        <v>6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23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13975.1</v>
      </c>
      <c r="P157" s="27">
        <v>13975.1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13</v>
      </c>
      <c r="I158" s="1">
        <v>2</v>
      </c>
      <c r="J158" s="26">
        <v>2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27</v>
      </c>
      <c r="I160" s="1">
        <v>25</v>
      </c>
      <c r="J160" s="26">
        <v>27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22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26</v>
      </c>
      <c r="I169" s="1">
        <v>9</v>
      </c>
      <c r="J169" s="26">
        <v>9</v>
      </c>
      <c r="K169" s="27">
        <f t="shared" si="5"/>
        <v>8857.4</v>
      </c>
      <c r="L169" s="27">
        <v>8857.4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7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3</v>
      </c>
      <c r="J173" s="26">
        <v>3</v>
      </c>
      <c r="K173" s="27">
        <f t="shared" si="5"/>
        <v>1938.2</v>
      </c>
      <c r="L173" s="27">
        <v>1938.2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10</v>
      </c>
      <c r="J174" s="26">
        <v>10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13</v>
      </c>
      <c r="I175" s="1">
        <v>5</v>
      </c>
      <c r="J175" s="26">
        <v>6</v>
      </c>
      <c r="K175" s="27">
        <f t="shared" si="5"/>
        <v>10188.35</v>
      </c>
      <c r="L175" s="27">
        <v>10188.35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14</v>
      </c>
      <c r="I181" s="2">
        <v>9</v>
      </c>
      <c r="J181" s="26">
        <v>9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52</v>
      </c>
      <c r="I182" s="1">
        <v>48</v>
      </c>
      <c r="J182" s="26">
        <v>48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21</v>
      </c>
      <c r="I183" s="1">
        <v>8</v>
      </c>
      <c r="J183" s="26">
        <v>8</v>
      </c>
      <c r="K183" s="27">
        <f t="shared" si="5"/>
        <v>6075.3</v>
      </c>
      <c r="L183" s="27">
        <v>6075.3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49</v>
      </c>
      <c r="I184" s="1">
        <v>30</v>
      </c>
      <c r="J184" s="26">
        <v>32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71</v>
      </c>
      <c r="I185" s="1">
        <v>60</v>
      </c>
      <c r="J185" s="26">
        <v>60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40</v>
      </c>
      <c r="I186" s="1">
        <v>12</v>
      </c>
      <c r="J186" s="44">
        <v>12</v>
      </c>
      <c r="K186" s="27">
        <f t="shared" si="5"/>
        <v>20645.599999999999</v>
      </c>
      <c r="L186" s="27">
        <v>20645.599999999999</v>
      </c>
      <c r="M186" s="27"/>
      <c r="N186" s="1">
        <v>19</v>
      </c>
      <c r="O186" s="27">
        <f t="shared" si="6"/>
        <v>30487.919999999998</v>
      </c>
      <c r="P186" s="27">
        <v>30487.919999999998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/>
      <c r="J188" s="26"/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18</v>
      </c>
      <c r="I189" s="38">
        <v>5</v>
      </c>
      <c r="J189" s="43">
        <v>5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37</v>
      </c>
      <c r="I191" s="1">
        <v>8</v>
      </c>
      <c r="J191" s="26">
        <v>9</v>
      </c>
      <c r="K191" s="27">
        <f t="shared" si="5"/>
        <v>27698.639999999999</v>
      </c>
      <c r="L191" s="27">
        <v>27698.639999999999</v>
      </c>
      <c r="M191" s="27"/>
      <c r="N191" s="1">
        <v>21</v>
      </c>
      <c r="O191" s="27">
        <f t="shared" si="6"/>
        <v>93568.56</v>
      </c>
      <c r="P191" s="27">
        <v>93568.56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11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12</v>
      </c>
      <c r="I193" s="2">
        <v>3</v>
      </c>
      <c r="J193" s="26">
        <v>3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36</v>
      </c>
      <c r="I194" s="2">
        <v>29</v>
      </c>
      <c r="J194" s="26">
        <v>31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51</v>
      </c>
      <c r="I199" s="1">
        <v>43</v>
      </c>
      <c r="J199" s="44">
        <v>44</v>
      </c>
      <c r="K199" s="27">
        <f t="shared" si="5"/>
        <v>44530.22</v>
      </c>
      <c r="L199" s="27">
        <f>39374.14+5156.08</f>
        <v>44530.22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30</v>
      </c>
      <c r="I201" s="1">
        <v>14</v>
      </c>
      <c r="J201" s="44">
        <v>15</v>
      </c>
      <c r="K201" s="27">
        <f t="shared" si="5"/>
        <v>13032.5</v>
      </c>
      <c r="L201" s="27">
        <f>10009.78+3022.72</f>
        <v>13032.5</v>
      </c>
      <c r="M201" s="27"/>
      <c r="N201" s="1">
        <v>25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4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4320.42</v>
      </c>
      <c r="L205" s="63">
        <f>4320.42</f>
        <v>4320.42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/>
      <c r="J207" s="51"/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3279</v>
      </c>
      <c r="I208" s="88">
        <f>SUM(I10:I207)</f>
        <v>1709</v>
      </c>
      <c r="J208" s="88">
        <f>SUM(J10:J207)</f>
        <v>1884</v>
      </c>
      <c r="K208" s="90">
        <f>SUM(K10:K207)</f>
        <v>1448722.1700000004</v>
      </c>
      <c r="L208" s="90">
        <f t="shared" ref="L208:M208" si="9">SUM(L10:L207)</f>
        <v>1448722.1700000004</v>
      </c>
      <c r="M208" s="88">
        <f t="shared" si="9"/>
        <v>0</v>
      </c>
      <c r="N208" s="88">
        <f>SUM(N10:N207)</f>
        <v>1183</v>
      </c>
      <c r="O208" s="90">
        <f>SUM(O10:O207)</f>
        <v>3339461.79</v>
      </c>
      <c r="P208" s="90">
        <f>SUM(P10:P207)</f>
        <v>3339461.79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R223"/>
  <sheetViews>
    <sheetView topLeftCell="A197" zoomScaleNormal="100" workbookViewId="0">
      <selection activeCell="H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31</v>
      </c>
      <c r="I11" s="1">
        <v>11</v>
      </c>
      <c r="J11" s="26">
        <v>11</v>
      </c>
      <c r="K11" s="27">
        <f t="shared" ref="K11:K75" si="1">L11+M11</f>
        <v>21196.9</v>
      </c>
      <c r="L11" s="27">
        <v>21196.9</v>
      </c>
      <c r="M11" s="27"/>
      <c r="N11" s="1">
        <v>18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54</v>
      </c>
      <c r="I12" s="1">
        <v>24</v>
      </c>
      <c r="J12" s="26">
        <v>32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56</v>
      </c>
      <c r="I16" s="1">
        <v>51</v>
      </c>
      <c r="J16" s="26">
        <v>64</v>
      </c>
      <c r="K16" s="27">
        <f t="shared" si="1"/>
        <v>44323.94</v>
      </c>
      <c r="L16" s="27">
        <f>35564.14+8759.8</f>
        <v>44323.94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62</v>
      </c>
      <c r="I20" s="1">
        <v>43</v>
      </c>
      <c r="J20" s="26">
        <v>45</v>
      </c>
      <c r="K20" s="27">
        <f t="shared" si="1"/>
        <v>38815.240000000005</v>
      </c>
      <c r="L20" s="27">
        <f>32460.24+6355</f>
        <v>38815.240000000005</v>
      </c>
      <c r="M20" s="27"/>
      <c r="N20" s="1">
        <v>29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3</v>
      </c>
      <c r="I21" s="2"/>
      <c r="J21" s="26"/>
      <c r="K21" s="27">
        <f t="shared" si="1"/>
        <v>0</v>
      </c>
      <c r="L21" s="27"/>
      <c r="M21" s="27"/>
      <c r="N21" s="2">
        <v>2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5</v>
      </c>
      <c r="J22" s="26">
        <v>5</v>
      </c>
      <c r="K22" s="27">
        <f t="shared" si="1"/>
        <v>9389.0999999999985</v>
      </c>
      <c r="L22" s="27">
        <v>8756.4700000000012</v>
      </c>
      <c r="M22" s="27">
        <v>632.62999999999738</v>
      </c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20</v>
      </c>
      <c r="I27" s="40">
        <v>5</v>
      </c>
      <c r="J27" s="43">
        <v>5</v>
      </c>
      <c r="K27" s="27">
        <f t="shared" si="1"/>
        <v>3313.8</v>
      </c>
      <c r="L27" s="39">
        <v>3313.8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32</v>
      </c>
      <c r="I31" s="1">
        <v>19</v>
      </c>
      <c r="J31" s="26">
        <v>24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26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16</v>
      </c>
      <c r="I33" s="2">
        <v>5</v>
      </c>
      <c r="J33" s="26">
        <v>5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26</v>
      </c>
      <c r="I34" s="1">
        <v>20</v>
      </c>
      <c r="J34" s="26">
        <v>32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7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2</v>
      </c>
      <c r="J37" s="26">
        <v>2</v>
      </c>
      <c r="K37" s="27">
        <f t="shared" si="1"/>
        <v>528.6</v>
      </c>
      <c r="L37" s="27">
        <v>528.6</v>
      </c>
      <c r="M37" s="27"/>
      <c r="N37" s="1">
        <v>7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7</v>
      </c>
      <c r="J39" s="26">
        <v>7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28</v>
      </c>
      <c r="I40" s="1">
        <v>22</v>
      </c>
      <c r="J40" s="26">
        <v>24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9</v>
      </c>
      <c r="J41" s="26">
        <v>9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20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24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33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13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23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32</v>
      </c>
      <c r="I55" s="1">
        <v>20</v>
      </c>
      <c r="J55" s="26">
        <v>20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4</v>
      </c>
      <c r="J56" s="26">
        <v>4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34</v>
      </c>
      <c r="I58" s="2">
        <v>6</v>
      </c>
      <c r="J58" s="26">
        <v>8</v>
      </c>
      <c r="K58" s="27">
        <f>L58+M58</f>
        <v>16502.7</v>
      </c>
      <c r="L58" s="27">
        <v>16502.7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52</v>
      </c>
      <c r="I61" s="26">
        <v>33</v>
      </c>
      <c r="J61" s="26">
        <v>33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30</v>
      </c>
      <c r="J62" s="26">
        <v>30</v>
      </c>
      <c r="K62" s="27">
        <f t="shared" si="1"/>
        <v>35313.24</v>
      </c>
      <c r="L62" s="27">
        <f>26838.02+8475.22</f>
        <v>35313.24</v>
      </c>
      <c r="M62" s="27"/>
      <c r="N62" s="1">
        <v>21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35</v>
      </c>
      <c r="I63" s="1">
        <v>26</v>
      </c>
      <c r="J63" s="26">
        <v>29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31113.9</v>
      </c>
      <c r="P64" s="27">
        <v>31113.9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23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18</v>
      </c>
      <c r="I68" s="1">
        <v>13</v>
      </c>
      <c r="J68" s="26">
        <v>13</v>
      </c>
      <c r="K68" s="27">
        <f t="shared" si="1"/>
        <v>14205.34</v>
      </c>
      <c r="L68" s="27">
        <f>14205.34</f>
        <v>14205.34</v>
      </c>
      <c r="M68" s="27"/>
      <c r="N68" s="1">
        <v>10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29</v>
      </c>
      <c r="I70" s="1">
        <v>17</v>
      </c>
      <c r="J70" s="26">
        <v>21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32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51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44</v>
      </c>
      <c r="I75" s="1">
        <v>37</v>
      </c>
      <c r="J75" s="26">
        <v>38</v>
      </c>
      <c r="K75" s="27">
        <f t="shared" si="1"/>
        <v>24402.11</v>
      </c>
      <c r="L75" s="27">
        <f>24129.81+272.3</f>
        <v>24402.11</v>
      </c>
      <c r="M75" s="27"/>
      <c r="N75" s="1">
        <v>10</v>
      </c>
      <c r="O75" s="27">
        <f t="shared" si="2"/>
        <v>33169.909999999996</v>
      </c>
      <c r="P75" s="27">
        <f>31150.39+2019.52</f>
        <v>33169.909999999996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14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10</v>
      </c>
      <c r="O77" s="27">
        <f t="shared" si="4"/>
        <v>45176.94</v>
      </c>
      <c r="P77" s="27">
        <v>45176.94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23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29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16</v>
      </c>
      <c r="I82" s="1">
        <v>3</v>
      </c>
      <c r="J82" s="26">
        <v>3</v>
      </c>
      <c r="K82" s="27">
        <f t="shared" si="3"/>
        <v>4234.3</v>
      </c>
      <c r="L82" s="27">
        <v>4234.3</v>
      </c>
      <c r="M82" s="27"/>
      <c r="N82" s="1">
        <v>14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19</v>
      </c>
      <c r="J83" s="26">
        <v>19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97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14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49</v>
      </c>
      <c r="I89" s="1">
        <v>43</v>
      </c>
      <c r="J89" s="26">
        <v>44</v>
      </c>
      <c r="K89" s="27">
        <f t="shared" si="3"/>
        <v>40111.32</v>
      </c>
      <c r="L89" s="27">
        <f>34327.04+5784.28</f>
        <v>40111.32</v>
      </c>
      <c r="M89" s="27"/>
      <c r="N89" s="1">
        <v>18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15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15</v>
      </c>
      <c r="I98" s="1">
        <v>12</v>
      </c>
      <c r="J98" s="26">
        <v>13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32</v>
      </c>
      <c r="I104" s="1">
        <v>20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11</v>
      </c>
      <c r="O104" s="27">
        <f t="shared" si="4"/>
        <v>38525.03</v>
      </c>
      <c r="P104" s="27">
        <f>34082.68+4442.35</f>
        <v>38525.03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22</v>
      </c>
      <c r="I105" s="1">
        <v>14</v>
      </c>
      <c r="J105" s="26">
        <v>15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35</v>
      </c>
      <c r="I107" s="1">
        <v>9</v>
      </c>
      <c r="J107" s="26">
        <v>10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24</v>
      </c>
      <c r="I108" s="1">
        <v>19</v>
      </c>
      <c r="J108" s="26">
        <v>25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44</v>
      </c>
      <c r="I109" s="1">
        <v>11</v>
      </c>
      <c r="J109" s="26">
        <v>11</v>
      </c>
      <c r="K109" s="27">
        <f t="shared" si="3"/>
        <v>7548.1</v>
      </c>
      <c r="L109" s="27">
        <v>7548.1</v>
      </c>
      <c r="M109" s="27"/>
      <c r="N109" s="1">
        <v>22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46</v>
      </c>
      <c r="I110" s="2">
        <v>22</v>
      </c>
      <c r="J110" s="26">
        <v>22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15</v>
      </c>
      <c r="I113" s="2">
        <v>4</v>
      </c>
      <c r="J113" s="26">
        <v>4</v>
      </c>
      <c r="K113" s="27">
        <f t="shared" si="3"/>
        <v>8918.2000000000007</v>
      </c>
      <c r="L113" s="27">
        <v>8918.2000000000007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44</v>
      </c>
      <c r="I114" s="2">
        <v>29</v>
      </c>
      <c r="J114" s="26">
        <v>33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23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18</v>
      </c>
      <c r="I116" s="2">
        <v>9</v>
      </c>
      <c r="J116" s="26">
        <v>9</v>
      </c>
      <c r="K116" s="27">
        <f t="shared" si="3"/>
        <v>11461</v>
      </c>
      <c r="L116" s="27">
        <v>11461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37</v>
      </c>
      <c r="I117" s="1">
        <v>31</v>
      </c>
      <c r="J117" s="26">
        <v>33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34</v>
      </c>
      <c r="I121" s="1">
        <v>25</v>
      </c>
      <c r="J121" s="26">
        <v>30</v>
      </c>
      <c r="K121" s="27">
        <f t="shared" si="3"/>
        <v>26469</v>
      </c>
      <c r="L121" s="27">
        <f>23252.01+1197.18+2019.81</f>
        <v>26469</v>
      </c>
      <c r="M121" s="27"/>
      <c r="N121" s="1">
        <v>15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33</v>
      </c>
      <c r="I123" s="1">
        <v>15</v>
      </c>
      <c r="J123" s="26">
        <v>15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36</v>
      </c>
      <c r="I125" s="1">
        <v>9</v>
      </c>
      <c r="J125" s="26">
        <v>9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19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31</v>
      </c>
      <c r="I129" s="1">
        <v>28</v>
      </c>
      <c r="J129" s="26">
        <v>28</v>
      </c>
      <c r="K129" s="27">
        <f t="shared" si="3"/>
        <v>14700.02</v>
      </c>
      <c r="L129" s="27">
        <v>14700.02</v>
      </c>
      <c r="M129" s="27"/>
      <c r="N129" s="1">
        <v>11</v>
      </c>
      <c r="O129" s="27">
        <f t="shared" si="4"/>
        <v>51576.28</v>
      </c>
      <c r="P129" s="27">
        <f>46040.89+2290.6+599.08+2645.71</f>
        <v>51576.28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66</v>
      </c>
      <c r="I131" s="1">
        <v>54</v>
      </c>
      <c r="J131" s="26">
        <v>56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21</v>
      </c>
      <c r="J133" s="26">
        <v>24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33</v>
      </c>
      <c r="I135" s="1">
        <v>28</v>
      </c>
      <c r="J135" s="26">
        <v>35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51</v>
      </c>
      <c r="I136" s="1">
        <v>19</v>
      </c>
      <c r="J136" s="26">
        <v>19</v>
      </c>
      <c r="K136" s="27">
        <f t="shared" si="3"/>
        <v>2466.8000000000002</v>
      </c>
      <c r="L136" s="27">
        <v>2466.8000000000002</v>
      </c>
      <c r="M136" s="27"/>
      <c r="N136" s="1">
        <v>20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37</v>
      </c>
      <c r="I137" s="1">
        <v>22</v>
      </c>
      <c r="J137" s="26">
        <v>28</v>
      </c>
      <c r="K137" s="27">
        <f t="shared" si="3"/>
        <v>14801.52</v>
      </c>
      <c r="L137" s="27">
        <v>14801.52</v>
      </c>
      <c r="M137" s="27"/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40</v>
      </c>
      <c r="I140" s="1">
        <v>10</v>
      </c>
      <c r="J140" s="44">
        <v>11</v>
      </c>
      <c r="K140" s="27">
        <f t="shared" ref="K140:K203" si="5">L140+M140</f>
        <v>15298.5</v>
      </c>
      <c r="L140" s="27">
        <v>15298.5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27</v>
      </c>
      <c r="I141" s="1">
        <v>16</v>
      </c>
      <c r="J141" s="26">
        <v>16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20</v>
      </c>
      <c r="I142" s="1">
        <v>2</v>
      </c>
      <c r="J142" s="26">
        <v>2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28</v>
      </c>
      <c r="I144" s="1">
        <v>22</v>
      </c>
      <c r="J144" s="26">
        <v>39</v>
      </c>
      <c r="K144" s="27">
        <f t="shared" si="5"/>
        <v>872.19</v>
      </c>
      <c r="L144" s="27">
        <v>872.19</v>
      </c>
      <c r="M144" s="27"/>
      <c r="N144" s="1">
        <v>25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24</v>
      </c>
      <c r="I149" s="1">
        <v>11</v>
      </c>
      <c r="J149" s="26">
        <v>12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6</v>
      </c>
      <c r="J151" s="26">
        <v>8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45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10</v>
      </c>
      <c r="I155" s="1">
        <v>6</v>
      </c>
      <c r="J155" s="26">
        <v>6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23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13</v>
      </c>
      <c r="I158" s="1">
        <v>5</v>
      </c>
      <c r="J158" s="26">
        <v>5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28</v>
      </c>
      <c r="I160" s="1">
        <v>25</v>
      </c>
      <c r="J160" s="26">
        <v>27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22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27</v>
      </c>
      <c r="I169" s="1">
        <v>9</v>
      </c>
      <c r="J169" s="26">
        <v>9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7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3</v>
      </c>
      <c r="J173" s="26">
        <v>3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5</v>
      </c>
      <c r="J175" s="26">
        <v>6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17</v>
      </c>
      <c r="I181" s="2">
        <v>11</v>
      </c>
      <c r="J181" s="26">
        <v>11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52</v>
      </c>
      <c r="I182" s="1">
        <v>48</v>
      </c>
      <c r="J182" s="26">
        <v>48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8</v>
      </c>
      <c r="J183" s="26">
        <v>8</v>
      </c>
      <c r="K183" s="27">
        <f t="shared" si="5"/>
        <v>10125.5</v>
      </c>
      <c r="L183" s="27">
        <v>10125.5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51</v>
      </c>
      <c r="I184" s="1">
        <v>33</v>
      </c>
      <c r="J184" s="26">
        <v>35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72</v>
      </c>
      <c r="I185" s="1">
        <v>63</v>
      </c>
      <c r="J185" s="26">
        <v>63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41</v>
      </c>
      <c r="I186" s="1">
        <v>13</v>
      </c>
      <c r="J186" s="44">
        <v>13</v>
      </c>
      <c r="K186" s="27">
        <f t="shared" si="5"/>
        <v>32347.32</v>
      </c>
      <c r="L186" s="27">
        <v>32347.32</v>
      </c>
      <c r="M186" s="27"/>
      <c r="N186" s="1">
        <v>20</v>
      </c>
      <c r="O186" s="27">
        <f t="shared" si="6"/>
        <v>33010.089999999997</v>
      </c>
      <c r="P186" s="27">
        <v>33010.089999999997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20</v>
      </c>
      <c r="I189" s="38">
        <v>5</v>
      </c>
      <c r="J189" s="43">
        <v>5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37</v>
      </c>
      <c r="I191" s="1">
        <v>10</v>
      </c>
      <c r="J191" s="26">
        <v>11</v>
      </c>
      <c r="K191" s="27">
        <f t="shared" si="5"/>
        <v>29539.64</v>
      </c>
      <c r="L191" s="27">
        <v>29539.64</v>
      </c>
      <c r="M191" s="27"/>
      <c r="N191" s="1">
        <v>21</v>
      </c>
      <c r="O191" s="27">
        <f t="shared" si="6"/>
        <v>93568.56</v>
      </c>
      <c r="P191" s="27">
        <v>93568.56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11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5</v>
      </c>
      <c r="J193" s="26">
        <v>5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36</v>
      </c>
      <c r="I194" s="2">
        <v>30</v>
      </c>
      <c r="J194" s="26">
        <v>32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2</v>
      </c>
      <c r="J195" s="26">
        <v>2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51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30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7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1</v>
      </c>
      <c r="J207" s="51">
        <v>1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3384</v>
      </c>
      <c r="I208" s="88">
        <f>SUM(I10:I207)</f>
        <v>1786</v>
      </c>
      <c r="J208" s="88">
        <f>SUM(J10:J207)</f>
        <v>1977</v>
      </c>
      <c r="K208" s="90">
        <f>SUM(K10:K207)</f>
        <v>1591403.4700000002</v>
      </c>
      <c r="L208" s="90">
        <f t="shared" ref="L208:M208" si="9">SUM(L10:L207)</f>
        <v>1590770.84</v>
      </c>
      <c r="M208" s="88">
        <f t="shared" si="9"/>
        <v>632.62999999999738</v>
      </c>
      <c r="N208" s="88">
        <f>SUM(N10:N207)</f>
        <v>1209</v>
      </c>
      <c r="O208" s="90">
        <f>SUM(O10:O207)</f>
        <v>3390429.17</v>
      </c>
      <c r="P208" s="90">
        <f>SUM(P10:P207)</f>
        <v>3390429.17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R223"/>
  <sheetViews>
    <sheetView tabSelected="1" topLeftCell="A179" zoomScaleNormal="100" workbookViewId="0">
      <selection activeCell="C217" sqref="C217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32</v>
      </c>
      <c r="I11" s="1">
        <v>11</v>
      </c>
      <c r="J11" s="26">
        <v>11</v>
      </c>
      <c r="K11" s="27">
        <f t="shared" ref="K11:K75" si="1">L11+M11</f>
        <v>21196.9</v>
      </c>
      <c r="L11" s="27">
        <v>21196.9</v>
      </c>
      <c r="M11" s="27"/>
      <c r="N11" s="1">
        <v>18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55</v>
      </c>
      <c r="I12" s="1">
        <v>24</v>
      </c>
      <c r="J12" s="26">
        <v>32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19303.510000000002</v>
      </c>
      <c r="L14" s="27">
        <f>14230.66+5072.85</f>
        <v>19303.510000000002</v>
      </c>
      <c r="M14" s="27"/>
      <c r="N14" s="1">
        <v>20</v>
      </c>
      <c r="O14" s="27">
        <f t="shared" si="2"/>
        <v>36043.17</v>
      </c>
      <c r="P14" s="27">
        <f>30961.32+3533.25+1548.6</f>
        <v>36043.17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59</v>
      </c>
      <c r="I16" s="1">
        <v>51</v>
      </c>
      <c r="J16" s="26">
        <v>64</v>
      </c>
      <c r="K16" s="27">
        <f t="shared" si="1"/>
        <v>44323.94</v>
      </c>
      <c r="L16" s="27">
        <f>35564.14+8759.8</f>
        <v>44323.94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62</v>
      </c>
      <c r="I20" s="1">
        <v>47</v>
      </c>
      <c r="J20" s="26">
        <v>50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5</v>
      </c>
      <c r="J22" s="26">
        <v>5</v>
      </c>
      <c r="K22" s="27">
        <f t="shared" si="1"/>
        <v>9389.0999999999985</v>
      </c>
      <c r="L22" s="27">
        <v>8756.4700000000012</v>
      </c>
      <c r="M22" s="27">
        <v>632.62999999999738</v>
      </c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2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1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22</v>
      </c>
      <c r="I27" s="40">
        <v>7</v>
      </c>
      <c r="J27" s="43">
        <v>7</v>
      </c>
      <c r="K27" s="27">
        <f t="shared" si="1"/>
        <v>3313.8</v>
      </c>
      <c r="L27" s="39">
        <v>3313.8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2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37</v>
      </c>
      <c r="I31" s="1">
        <v>19</v>
      </c>
      <c r="J31" s="26">
        <v>24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26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16</v>
      </c>
      <c r="I33" s="2">
        <v>6</v>
      </c>
      <c r="J33" s="26">
        <v>6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27</v>
      </c>
      <c r="I34" s="1">
        <v>20</v>
      </c>
      <c r="J34" s="26">
        <v>32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2</v>
      </c>
      <c r="J37" s="26">
        <v>2</v>
      </c>
      <c r="K37" s="27">
        <f t="shared" si="1"/>
        <v>528.6</v>
      </c>
      <c r="L37" s="27">
        <v>528.6</v>
      </c>
      <c r="M37" s="27"/>
      <c r="N37" s="1">
        <v>8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8</v>
      </c>
      <c r="J39" s="26">
        <v>8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28</v>
      </c>
      <c r="I40" s="1">
        <v>22</v>
      </c>
      <c r="J40" s="26">
        <v>24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9</v>
      </c>
      <c r="J41" s="26">
        <v>9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20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24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33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5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12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13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23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3</v>
      </c>
      <c r="J51" s="26">
        <v>3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32</v>
      </c>
      <c r="I55" s="1">
        <v>20</v>
      </c>
      <c r="J55" s="26">
        <v>20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54605.919999999998</v>
      </c>
      <c r="P55" s="27">
        <f>44392.14+10213.78</f>
        <v>54605.919999999998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4</v>
      </c>
      <c r="J56" s="26">
        <v>4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36</v>
      </c>
      <c r="I58" s="2">
        <v>20</v>
      </c>
      <c r="J58" s="26">
        <v>22</v>
      </c>
      <c r="K58" s="27">
        <f>L58+M58</f>
        <v>16502.7</v>
      </c>
      <c r="L58" s="27">
        <v>16502.7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53</v>
      </c>
      <c r="I61" s="26">
        <v>33</v>
      </c>
      <c r="J61" s="26">
        <v>33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30</v>
      </c>
      <c r="J62" s="26">
        <v>30</v>
      </c>
      <c r="K62" s="27">
        <f t="shared" si="1"/>
        <v>35313.24</v>
      </c>
      <c r="L62" s="27">
        <f>26838.02+8475.22</f>
        <v>35313.24</v>
      </c>
      <c r="M62" s="27"/>
      <c r="N62" s="1">
        <v>21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35</v>
      </c>
      <c r="I63" s="1">
        <v>27</v>
      </c>
      <c r="J63" s="26">
        <v>30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31113.9</v>
      </c>
      <c r="P64" s="27">
        <v>31113.9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19</v>
      </c>
      <c r="I68" s="1">
        <v>14</v>
      </c>
      <c r="J68" s="26">
        <v>14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30</v>
      </c>
      <c r="I70" s="1">
        <v>17</v>
      </c>
      <c r="J70" s="26">
        <v>21</v>
      </c>
      <c r="K70" s="27">
        <f t="shared" si="1"/>
        <v>1399.0300000000002</v>
      </c>
      <c r="L70" s="27">
        <f>1046.63+352.4</f>
        <v>1399.0300000000002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35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54</v>
      </c>
      <c r="I73" s="1">
        <v>28</v>
      </c>
      <c r="J73" s="26">
        <v>29</v>
      </c>
      <c r="K73" s="27">
        <f t="shared" si="1"/>
        <v>19123.38</v>
      </c>
      <c r="L73" s="27">
        <f>12414.92+6708.46</f>
        <v>19123.38</v>
      </c>
      <c r="M73" s="27"/>
      <c r="N73" s="1">
        <v>22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46</v>
      </c>
      <c r="I75" s="1">
        <v>37</v>
      </c>
      <c r="J75" s="26">
        <v>38</v>
      </c>
      <c r="K75" s="27">
        <f t="shared" si="1"/>
        <v>24402.11</v>
      </c>
      <c r="L75" s="27">
        <f>24129.81+272.3</f>
        <v>24402.11</v>
      </c>
      <c r="M75" s="27"/>
      <c r="N75" s="1">
        <v>10</v>
      </c>
      <c r="O75" s="27">
        <f t="shared" si="2"/>
        <v>33169.909999999996</v>
      </c>
      <c r="P75" s="27">
        <f>31150.39+2019.52</f>
        <v>33169.909999999996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16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10</v>
      </c>
      <c r="O77" s="27">
        <f t="shared" si="4"/>
        <v>45176.94</v>
      </c>
      <c r="P77" s="27">
        <v>45176.94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23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19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30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3</v>
      </c>
      <c r="J82" s="26">
        <v>3</v>
      </c>
      <c r="K82" s="27">
        <f t="shared" si="3"/>
        <v>4234.3</v>
      </c>
      <c r="L82" s="27">
        <v>4234.3</v>
      </c>
      <c r="M82" s="27"/>
      <c r="N82" s="1">
        <v>14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19</v>
      </c>
      <c r="J83" s="26">
        <v>19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101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50</v>
      </c>
      <c r="I89" s="1">
        <v>43</v>
      </c>
      <c r="J89" s="26">
        <v>44</v>
      </c>
      <c r="K89" s="27">
        <f t="shared" si="3"/>
        <v>40111.32</v>
      </c>
      <c r="L89" s="27">
        <f>34327.04+5784.28</f>
        <v>40111.32</v>
      </c>
      <c r="M89" s="27"/>
      <c r="N89" s="1">
        <v>18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17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15</v>
      </c>
      <c r="I98" s="1">
        <v>12</v>
      </c>
      <c r="J98" s="26">
        <v>13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36</v>
      </c>
      <c r="I104" s="1">
        <v>20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11</v>
      </c>
      <c r="O104" s="27">
        <f t="shared" si="4"/>
        <v>38525.03</v>
      </c>
      <c r="P104" s="27">
        <f>34082.68+4442.35</f>
        <v>38525.03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28</v>
      </c>
      <c r="I105" s="1">
        <v>14</v>
      </c>
      <c r="J105" s="26">
        <v>15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36</v>
      </c>
      <c r="I107" s="1">
        <v>12</v>
      </c>
      <c r="J107" s="26">
        <v>13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26</v>
      </c>
      <c r="I108" s="1">
        <v>19</v>
      </c>
      <c r="J108" s="26">
        <v>25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13</v>
      </c>
      <c r="J109" s="26">
        <v>13</v>
      </c>
      <c r="K109" s="27">
        <f t="shared" si="3"/>
        <v>7548.1</v>
      </c>
      <c r="L109" s="27">
        <v>7548.1</v>
      </c>
      <c r="M109" s="27"/>
      <c r="N109" s="1">
        <v>23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46</v>
      </c>
      <c r="I110" s="2">
        <v>23</v>
      </c>
      <c r="J110" s="26">
        <v>23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3</v>
      </c>
      <c r="J112" s="26">
        <v>3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4</v>
      </c>
      <c r="J113" s="26">
        <v>4</v>
      </c>
      <c r="K113" s="27">
        <f t="shared" si="3"/>
        <v>8918.2000000000007</v>
      </c>
      <c r="L113" s="27">
        <v>8918.2000000000007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44</v>
      </c>
      <c r="I114" s="2">
        <v>34</v>
      </c>
      <c r="J114" s="26">
        <v>38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23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21</v>
      </c>
      <c r="I116" s="2">
        <v>10</v>
      </c>
      <c r="J116" s="26">
        <v>10</v>
      </c>
      <c r="K116" s="27">
        <f t="shared" si="3"/>
        <v>11461</v>
      </c>
      <c r="L116" s="27">
        <v>11461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37</v>
      </c>
      <c r="I117" s="1">
        <v>31</v>
      </c>
      <c r="J117" s="26">
        <v>33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35</v>
      </c>
      <c r="I121" s="1">
        <v>25</v>
      </c>
      <c r="J121" s="26">
        <v>30</v>
      </c>
      <c r="K121" s="27">
        <f t="shared" si="3"/>
        <v>26469</v>
      </c>
      <c r="L121" s="27">
        <f>23252.01+1197.18+2019.81</f>
        <v>26469</v>
      </c>
      <c r="M121" s="27"/>
      <c r="N121" s="1">
        <v>15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35</v>
      </c>
      <c r="I123" s="1">
        <v>15</v>
      </c>
      <c r="J123" s="26">
        <v>15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37</v>
      </c>
      <c r="I125" s="1">
        <v>11</v>
      </c>
      <c r="J125" s="26">
        <v>11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20</v>
      </c>
      <c r="I127" s="1">
        <v>7</v>
      </c>
      <c r="J127" s="26">
        <v>7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6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31</v>
      </c>
      <c r="I129" s="1">
        <v>29</v>
      </c>
      <c r="J129" s="26">
        <v>30</v>
      </c>
      <c r="K129" s="27">
        <f t="shared" si="3"/>
        <v>14700.02</v>
      </c>
      <c r="L129" s="27">
        <v>14700.02</v>
      </c>
      <c r="M129" s="27"/>
      <c r="N129" s="1">
        <v>11</v>
      </c>
      <c r="O129" s="27">
        <f t="shared" si="4"/>
        <v>51576.28</v>
      </c>
      <c r="P129" s="27">
        <f>46040.89+2290.6+599.08+2645.71</f>
        <v>51576.28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68</v>
      </c>
      <c r="I131" s="1">
        <v>62</v>
      </c>
      <c r="J131" s="26">
        <v>64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21</v>
      </c>
      <c r="J133" s="26">
        <v>24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33</v>
      </c>
      <c r="I135" s="1">
        <v>28</v>
      </c>
      <c r="J135" s="26">
        <v>35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19</v>
      </c>
      <c r="J136" s="26">
        <v>19</v>
      </c>
      <c r="K136" s="27">
        <f t="shared" si="3"/>
        <v>2466.8000000000002</v>
      </c>
      <c r="L136" s="27">
        <v>2466.8000000000002</v>
      </c>
      <c r="M136" s="27"/>
      <c r="N136" s="1">
        <v>20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37</v>
      </c>
      <c r="I137" s="1">
        <v>22</v>
      </c>
      <c r="J137" s="26">
        <v>28</v>
      </c>
      <c r="K137" s="27">
        <f t="shared" si="3"/>
        <v>14801.52</v>
      </c>
      <c r="L137" s="27">
        <v>14801.52</v>
      </c>
      <c r="M137" s="27"/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40</v>
      </c>
      <c r="I140" s="1">
        <v>10</v>
      </c>
      <c r="J140" s="44">
        <v>11</v>
      </c>
      <c r="K140" s="27">
        <f t="shared" ref="K140:K203" si="5">L140+M140</f>
        <v>15298.5</v>
      </c>
      <c r="L140" s="27">
        <v>15298.5</v>
      </c>
      <c r="M140" s="27"/>
      <c r="N140" s="1">
        <v>7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27</v>
      </c>
      <c r="I141" s="1">
        <v>16</v>
      </c>
      <c r="J141" s="26">
        <v>16</v>
      </c>
      <c r="K141" s="27">
        <f t="shared" si="5"/>
        <v>17283.18</v>
      </c>
      <c r="L141" s="27">
        <f>8817.93+8465.25</f>
        <v>17283.18</v>
      </c>
      <c r="M141" s="27"/>
      <c r="N141" s="1">
        <v>9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20</v>
      </c>
      <c r="I142" s="1">
        <v>2</v>
      </c>
      <c r="J142" s="26">
        <v>2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30</v>
      </c>
      <c r="I144" s="1">
        <v>22</v>
      </c>
      <c r="J144" s="26">
        <v>39</v>
      </c>
      <c r="K144" s="27">
        <f t="shared" si="5"/>
        <v>872.19</v>
      </c>
      <c r="L144" s="27">
        <v>872.19</v>
      </c>
      <c r="M144" s="27"/>
      <c r="N144" s="1">
        <v>25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24</v>
      </c>
      <c r="I149" s="1">
        <v>16</v>
      </c>
      <c r="J149" s="26">
        <v>18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6</v>
      </c>
      <c r="J151" s="26">
        <v>8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46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5</v>
      </c>
      <c r="J153" s="26">
        <v>5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11</v>
      </c>
      <c r="I155" s="1">
        <v>6</v>
      </c>
      <c r="J155" s="26">
        <v>6</v>
      </c>
      <c r="K155" s="27">
        <f t="shared" si="5"/>
        <v>7188.96</v>
      </c>
      <c r="L155" s="27">
        <v>7188.96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15</v>
      </c>
      <c r="I158" s="1">
        <v>5</v>
      </c>
      <c r="J158" s="26">
        <v>5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28</v>
      </c>
      <c r="I160" s="1">
        <v>25</v>
      </c>
      <c r="J160" s="26">
        <v>27</v>
      </c>
      <c r="K160" s="27">
        <f t="shared" si="5"/>
        <v>17701.57</v>
      </c>
      <c r="L160" s="27">
        <f>14455.97+3245.6</f>
        <v>17701.57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22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27</v>
      </c>
      <c r="I169" s="1">
        <v>9</v>
      </c>
      <c r="J169" s="26">
        <v>9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1</v>
      </c>
      <c r="J170" s="26">
        <v>1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8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4</v>
      </c>
      <c r="J173" s="26">
        <v>4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5</v>
      </c>
      <c r="J175" s="26">
        <v>6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10</v>
      </c>
      <c r="J177" s="26">
        <v>16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11</v>
      </c>
      <c r="J181" s="26">
        <v>11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54</v>
      </c>
      <c r="I182" s="1">
        <v>48</v>
      </c>
      <c r="J182" s="26">
        <v>48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8</v>
      </c>
      <c r="J183" s="26">
        <v>8</v>
      </c>
      <c r="K183" s="27">
        <f t="shared" si="5"/>
        <v>10125.5</v>
      </c>
      <c r="L183" s="27">
        <v>10125.5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53</v>
      </c>
      <c r="I184" s="1">
        <v>35</v>
      </c>
      <c r="J184" s="26">
        <v>37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72</v>
      </c>
      <c r="I185" s="1">
        <v>63</v>
      </c>
      <c r="J185" s="26">
        <v>63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41</v>
      </c>
      <c r="I186" s="1">
        <v>13</v>
      </c>
      <c r="J186" s="44">
        <v>13</v>
      </c>
      <c r="K186" s="27">
        <f t="shared" si="5"/>
        <v>32347.32</v>
      </c>
      <c r="L186" s="27">
        <v>32347.32</v>
      </c>
      <c r="M186" s="27"/>
      <c r="N186" s="1">
        <v>20</v>
      </c>
      <c r="O186" s="27">
        <f t="shared" si="6"/>
        <v>33010.089999999997</v>
      </c>
      <c r="P186" s="27">
        <v>33010.089999999997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22</v>
      </c>
      <c r="I189" s="38">
        <v>6</v>
      </c>
      <c r="J189" s="43">
        <v>6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10</v>
      </c>
      <c r="J191" s="26">
        <v>11</v>
      </c>
      <c r="K191" s="27">
        <f t="shared" si="5"/>
        <v>29539.64</v>
      </c>
      <c r="L191" s="27">
        <v>29539.64</v>
      </c>
      <c r="M191" s="27"/>
      <c r="N191" s="1">
        <v>21</v>
      </c>
      <c r="O191" s="27">
        <f t="shared" si="6"/>
        <v>93568.56</v>
      </c>
      <c r="P191" s="27">
        <v>93568.56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12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5</v>
      </c>
      <c r="J193" s="26">
        <v>5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38</v>
      </c>
      <c r="I194" s="2">
        <v>30</v>
      </c>
      <c r="J194" s="26">
        <v>32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52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31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9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1</v>
      </c>
      <c r="J207" s="51">
        <v>1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3478</v>
      </c>
      <c r="I208" s="88">
        <f>SUM(I10:I207)</f>
        <v>1845</v>
      </c>
      <c r="J208" s="88">
        <f>SUM(J10:J207)</f>
        <v>2039</v>
      </c>
      <c r="K208" s="90">
        <f>SUM(K10:K207)</f>
        <v>1591403.4700000002</v>
      </c>
      <c r="L208" s="90">
        <f t="shared" ref="L208:M208" si="9">SUM(L10:L207)</f>
        <v>1590770.84</v>
      </c>
      <c r="M208" s="88">
        <f t="shared" si="9"/>
        <v>632.62999999999738</v>
      </c>
      <c r="N208" s="88">
        <f>SUM(N10:N207)</f>
        <v>1214</v>
      </c>
      <c r="O208" s="90">
        <f>SUM(O10:O207)</f>
        <v>3390429.17</v>
      </c>
      <c r="P208" s="90">
        <f>SUM(P10:P207)</f>
        <v>3390429.17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R223"/>
  <sheetViews>
    <sheetView topLeftCell="B191" zoomScale="76" zoomScaleNormal="76" workbookViewId="0">
      <selection activeCell="H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32</v>
      </c>
      <c r="I11" s="1">
        <v>12</v>
      </c>
      <c r="J11" s="26">
        <v>12</v>
      </c>
      <c r="K11" s="27">
        <f t="shared" ref="K11:K75" si="1">L11+M11</f>
        <v>21196.9</v>
      </c>
      <c r="L11" s="27">
        <v>21196.9</v>
      </c>
      <c r="M11" s="27"/>
      <c r="N11" s="1">
        <v>18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56</v>
      </c>
      <c r="I12" s="1">
        <v>24</v>
      </c>
      <c r="J12" s="26">
        <v>32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21943.440000000002</v>
      </c>
      <c r="L14" s="27">
        <f>14230.66+5072.85</f>
        <v>19303.510000000002</v>
      </c>
      <c r="M14" s="27">
        <v>2639.93</v>
      </c>
      <c r="N14" s="1">
        <v>20</v>
      </c>
      <c r="O14" s="27">
        <f t="shared" si="2"/>
        <v>61466.06</v>
      </c>
      <c r="P14" s="27">
        <f>30961.32+3533.25+1548.6</f>
        <v>36043.17</v>
      </c>
      <c r="Q14" s="27">
        <v>25422.89</v>
      </c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59</v>
      </c>
      <c r="I16" s="1">
        <v>51</v>
      </c>
      <c r="J16" s="26">
        <v>64</v>
      </c>
      <c r="K16" s="27">
        <f t="shared" si="1"/>
        <v>51173.75</v>
      </c>
      <c r="L16" s="27">
        <f>35564.14+8759.8</f>
        <v>44323.94</v>
      </c>
      <c r="M16" s="27">
        <v>6849.81</v>
      </c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62</v>
      </c>
      <c r="I20" s="1">
        <v>47</v>
      </c>
      <c r="J20" s="26">
        <v>50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5</v>
      </c>
      <c r="J22" s="26">
        <v>5</v>
      </c>
      <c r="K22" s="27">
        <f t="shared" si="1"/>
        <v>9389.0999999999985</v>
      </c>
      <c r="L22" s="27">
        <v>8756.4700000000012</v>
      </c>
      <c r="M22" s="27">
        <v>632.62999999999738</v>
      </c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23</v>
      </c>
      <c r="I27" s="40">
        <v>8</v>
      </c>
      <c r="J27" s="43">
        <v>8</v>
      </c>
      <c r="K27" s="27">
        <f t="shared" si="1"/>
        <v>3313.8</v>
      </c>
      <c r="L27" s="39">
        <v>3313.8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38</v>
      </c>
      <c r="I31" s="1">
        <v>19</v>
      </c>
      <c r="J31" s="26">
        <v>24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26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16</v>
      </c>
      <c r="I33" s="2">
        <v>6</v>
      </c>
      <c r="J33" s="26">
        <v>6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29</v>
      </c>
      <c r="I34" s="1">
        <v>20</v>
      </c>
      <c r="J34" s="26">
        <v>32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2</v>
      </c>
      <c r="J37" s="26">
        <v>2</v>
      </c>
      <c r="K37" s="27">
        <f t="shared" si="1"/>
        <v>528.6</v>
      </c>
      <c r="L37" s="27">
        <v>528.6</v>
      </c>
      <c r="M37" s="27"/>
      <c r="N37" s="1">
        <v>8</v>
      </c>
      <c r="O37" s="27">
        <f t="shared" si="2"/>
        <v>18317.34</v>
      </c>
      <c r="P37" s="27">
        <v>18317.34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5</v>
      </c>
      <c r="J38" s="26">
        <v>5</v>
      </c>
      <c r="K38" s="27">
        <f t="shared" si="1"/>
        <v>12886.55</v>
      </c>
      <c r="L38" s="27">
        <f>12886.55</f>
        <v>12886.55</v>
      </c>
      <c r="M38" s="27"/>
      <c r="N38" s="1">
        <v>12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8</v>
      </c>
      <c r="J39" s="26">
        <v>8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28</v>
      </c>
      <c r="I40" s="1">
        <v>22</v>
      </c>
      <c r="J40" s="26">
        <v>24</v>
      </c>
      <c r="K40" s="27">
        <f t="shared" si="1"/>
        <v>17627.599999999999</v>
      </c>
      <c r="L40" s="27">
        <v>17627.599999999999</v>
      </c>
      <c r="M40" s="27"/>
      <c r="N40" s="1">
        <v>15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9</v>
      </c>
      <c r="J41" s="26">
        <v>9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20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24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6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34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/>
      <c r="J47" s="26"/>
      <c r="K47" s="27">
        <f t="shared" si="1"/>
        <v>0</v>
      </c>
      <c r="L47" s="27"/>
      <c r="M47" s="27"/>
      <c r="N47" s="1">
        <v>5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13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23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5</v>
      </c>
      <c r="J51" s="26">
        <v>5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33</v>
      </c>
      <c r="I55" s="1">
        <v>20</v>
      </c>
      <c r="J55" s="26">
        <v>20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63564.07</v>
      </c>
      <c r="P55" s="27">
        <f>44392.14+10213.78</f>
        <v>54605.919999999998</v>
      </c>
      <c r="Q55" s="27">
        <v>8958.15</v>
      </c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/>
      <c r="J57" s="26"/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38</v>
      </c>
      <c r="I58" s="2">
        <v>21</v>
      </c>
      <c r="J58" s="26">
        <v>23</v>
      </c>
      <c r="K58" s="27">
        <f>L58+M58</f>
        <v>16502.7</v>
      </c>
      <c r="L58" s="27">
        <v>16502.7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53</v>
      </c>
      <c r="I61" s="26">
        <v>33</v>
      </c>
      <c r="J61" s="26">
        <v>33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30</v>
      </c>
      <c r="J62" s="26">
        <v>30</v>
      </c>
      <c r="K62" s="27">
        <f t="shared" si="1"/>
        <v>35313.24</v>
      </c>
      <c r="L62" s="27">
        <f>26838.02+8475.22</f>
        <v>35313.24</v>
      </c>
      <c r="M62" s="27"/>
      <c r="N62" s="1">
        <v>21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37</v>
      </c>
      <c r="I63" s="1">
        <v>27</v>
      </c>
      <c r="J63" s="26">
        <v>30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31113.9</v>
      </c>
      <c r="P64" s="27">
        <v>31113.9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19</v>
      </c>
      <c r="I68" s="1">
        <v>14</v>
      </c>
      <c r="J68" s="26">
        <v>14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31</v>
      </c>
      <c r="I70" s="1">
        <v>17</v>
      </c>
      <c r="J70" s="26">
        <v>21</v>
      </c>
      <c r="K70" s="27">
        <f t="shared" si="1"/>
        <v>7602.67</v>
      </c>
      <c r="L70" s="27">
        <f>1046.63+352.4</f>
        <v>1399.0300000000002</v>
      </c>
      <c r="M70" s="27">
        <v>6203.64</v>
      </c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35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56</v>
      </c>
      <c r="I73" s="1">
        <v>37</v>
      </c>
      <c r="J73" s="26">
        <v>38</v>
      </c>
      <c r="K73" s="27">
        <f t="shared" si="1"/>
        <v>25040.720000000001</v>
      </c>
      <c r="L73" s="27">
        <f>12414.92+6708.46</f>
        <v>19123.38</v>
      </c>
      <c r="M73" s="27">
        <v>5917.34</v>
      </c>
      <c r="N73" s="1">
        <v>25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47</v>
      </c>
      <c r="I75" s="1">
        <v>38</v>
      </c>
      <c r="J75" s="26">
        <v>39</v>
      </c>
      <c r="K75" s="27">
        <f t="shared" si="1"/>
        <v>26694.03</v>
      </c>
      <c r="L75" s="27">
        <f>24129.81+272.3</f>
        <v>24402.11</v>
      </c>
      <c r="M75" s="27">
        <v>2291.92</v>
      </c>
      <c r="N75" s="1">
        <v>13</v>
      </c>
      <c r="O75" s="27">
        <f t="shared" si="2"/>
        <v>40094.129999999997</v>
      </c>
      <c r="P75" s="27">
        <f>31150.39+2019.52</f>
        <v>33169.909999999996</v>
      </c>
      <c r="Q75" s="27">
        <v>6924.22</v>
      </c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16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11</v>
      </c>
      <c r="O77" s="27">
        <f t="shared" si="4"/>
        <v>45176.94</v>
      </c>
      <c r="P77" s="27">
        <v>45176.94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23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21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31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59901.36</v>
      </c>
      <c r="P80" s="27">
        <v>59901.36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3</v>
      </c>
      <c r="J82" s="26">
        <v>3</v>
      </c>
      <c r="K82" s="27">
        <f t="shared" si="3"/>
        <v>4234.3</v>
      </c>
      <c r="L82" s="27">
        <v>4234.3</v>
      </c>
      <c r="M82" s="27"/>
      <c r="N82" s="1">
        <v>14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20</v>
      </c>
      <c r="J83" s="26">
        <v>21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103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52</v>
      </c>
      <c r="I89" s="1">
        <v>45</v>
      </c>
      <c r="J89" s="26">
        <v>46</v>
      </c>
      <c r="K89" s="27">
        <f t="shared" si="3"/>
        <v>40111.32</v>
      </c>
      <c r="L89" s="27">
        <f>34327.04+5784.28</f>
        <v>40111.32</v>
      </c>
      <c r="M89" s="27"/>
      <c r="N89" s="1">
        <v>19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18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8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16</v>
      </c>
      <c r="I98" s="1">
        <v>13</v>
      </c>
      <c r="J98" s="26">
        <v>15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20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11</v>
      </c>
      <c r="O104" s="27">
        <f t="shared" si="4"/>
        <v>45390.47</v>
      </c>
      <c r="P104" s="27">
        <f>34082.68+4442.35</f>
        <v>38525.03</v>
      </c>
      <c r="Q104" s="27">
        <v>6865.44</v>
      </c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28</v>
      </c>
      <c r="I105" s="1">
        <v>14</v>
      </c>
      <c r="J105" s="26">
        <v>15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37</v>
      </c>
      <c r="I107" s="1">
        <v>12</v>
      </c>
      <c r="J107" s="26">
        <v>13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26</v>
      </c>
      <c r="I108" s="1">
        <v>19</v>
      </c>
      <c r="J108" s="26">
        <v>25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13</v>
      </c>
      <c r="J109" s="26">
        <v>13</v>
      </c>
      <c r="K109" s="27">
        <f t="shared" si="3"/>
        <v>7548.1</v>
      </c>
      <c r="L109" s="27">
        <v>7548.1</v>
      </c>
      <c r="M109" s="27"/>
      <c r="N109" s="1">
        <v>22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47</v>
      </c>
      <c r="I110" s="2">
        <v>23</v>
      </c>
      <c r="J110" s="26">
        <v>23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80550.14</v>
      </c>
      <c r="P110" s="35">
        <v>80550.14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4</v>
      </c>
      <c r="J112" s="26">
        <v>4</v>
      </c>
      <c r="K112" s="27">
        <f t="shared" si="3"/>
        <v>0</v>
      </c>
      <c r="L112" s="27"/>
      <c r="M112" s="27"/>
      <c r="N112" s="2">
        <v>8</v>
      </c>
      <c r="O112" s="27">
        <f t="shared" si="4"/>
        <v>2937.3</v>
      </c>
      <c r="P112" s="27">
        <v>2937.3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8918.2000000000007</v>
      </c>
      <c r="L113" s="27">
        <v>8918.2000000000007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45</v>
      </c>
      <c r="I114" s="2">
        <v>34</v>
      </c>
      <c r="J114" s="26">
        <v>38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25</v>
      </c>
      <c r="I115" s="2">
        <v>9</v>
      </c>
      <c r="J115" s="26">
        <v>9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21</v>
      </c>
      <c r="I116" s="2">
        <v>10</v>
      </c>
      <c r="J116" s="26">
        <v>10</v>
      </c>
      <c r="K116" s="27">
        <f t="shared" si="3"/>
        <v>11461</v>
      </c>
      <c r="L116" s="27">
        <v>11461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37</v>
      </c>
      <c r="I117" s="1">
        <v>32</v>
      </c>
      <c r="J117" s="26">
        <v>36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37</v>
      </c>
      <c r="I121" s="1">
        <v>25</v>
      </c>
      <c r="J121" s="26">
        <v>30</v>
      </c>
      <c r="K121" s="27">
        <f t="shared" si="3"/>
        <v>26469</v>
      </c>
      <c r="L121" s="27">
        <f>23252.01+1197.18+2019.81</f>
        <v>26469</v>
      </c>
      <c r="M121" s="27"/>
      <c r="N121" s="1">
        <v>15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35</v>
      </c>
      <c r="I123" s="1">
        <v>20</v>
      </c>
      <c r="J123" s="26">
        <v>21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38</v>
      </c>
      <c r="I125" s="1">
        <v>13</v>
      </c>
      <c r="J125" s="26">
        <v>13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21</v>
      </c>
      <c r="I127" s="1">
        <v>9</v>
      </c>
      <c r="J127" s="26">
        <v>9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7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34</v>
      </c>
      <c r="I129" s="1">
        <v>29</v>
      </c>
      <c r="J129" s="26">
        <v>30</v>
      </c>
      <c r="K129" s="27">
        <f t="shared" si="3"/>
        <v>14700.02</v>
      </c>
      <c r="L129" s="27">
        <v>14700.02</v>
      </c>
      <c r="M129" s="27"/>
      <c r="N129" s="1">
        <v>11</v>
      </c>
      <c r="O129" s="27">
        <f t="shared" si="4"/>
        <v>57464.03</v>
      </c>
      <c r="P129" s="27">
        <f>46040.89+2290.6+599.08+2645.71</f>
        <v>51576.28</v>
      </c>
      <c r="Q129" s="27">
        <v>5887.75</v>
      </c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68</v>
      </c>
      <c r="I131" s="1">
        <v>62</v>
      </c>
      <c r="J131" s="26">
        <v>64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15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23</v>
      </c>
      <c r="J133" s="26">
        <v>26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34</v>
      </c>
      <c r="I135" s="1">
        <v>29</v>
      </c>
      <c r="J135" s="26">
        <v>36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19</v>
      </c>
      <c r="J136" s="26">
        <v>19</v>
      </c>
      <c r="K136" s="27">
        <f t="shared" si="3"/>
        <v>2466.8000000000002</v>
      </c>
      <c r="L136" s="27">
        <v>2466.8000000000002</v>
      </c>
      <c r="M136" s="27"/>
      <c r="N136" s="1">
        <v>20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38</v>
      </c>
      <c r="I137" s="1">
        <v>26</v>
      </c>
      <c r="J137" s="26">
        <v>33</v>
      </c>
      <c r="K137" s="27">
        <f t="shared" si="3"/>
        <v>17808.48</v>
      </c>
      <c r="L137" s="27">
        <v>14801.52</v>
      </c>
      <c r="M137" s="27">
        <v>3006.96</v>
      </c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41</v>
      </c>
      <c r="I140" s="1">
        <v>14</v>
      </c>
      <c r="J140" s="44">
        <v>15</v>
      </c>
      <c r="K140" s="27">
        <f t="shared" ref="K140:K203" si="5">L140+M140</f>
        <v>15298.5</v>
      </c>
      <c r="L140" s="27">
        <v>15298.5</v>
      </c>
      <c r="M140" s="27"/>
      <c r="N140" s="1">
        <v>8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28</v>
      </c>
      <c r="I141" s="1">
        <v>18</v>
      </c>
      <c r="J141" s="26">
        <v>18</v>
      </c>
      <c r="K141" s="27">
        <f t="shared" si="5"/>
        <v>17283.18</v>
      </c>
      <c r="L141" s="27">
        <f>8817.93+8465.25</f>
        <v>17283.18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21</v>
      </c>
      <c r="I142" s="1">
        <v>2</v>
      </c>
      <c r="J142" s="26">
        <v>2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31</v>
      </c>
      <c r="I144" s="1">
        <v>22</v>
      </c>
      <c r="J144" s="26">
        <v>39</v>
      </c>
      <c r="K144" s="27">
        <f t="shared" si="5"/>
        <v>872.19</v>
      </c>
      <c r="L144" s="27">
        <v>872.19</v>
      </c>
      <c r="M144" s="27"/>
      <c r="N144" s="1">
        <v>25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24</v>
      </c>
      <c r="I149" s="1">
        <v>16</v>
      </c>
      <c r="J149" s="26">
        <v>18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6</v>
      </c>
      <c r="J151" s="26">
        <v>8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48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5</v>
      </c>
      <c r="J153" s="26">
        <v>5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11</v>
      </c>
      <c r="I155" s="1">
        <v>8</v>
      </c>
      <c r="J155" s="26">
        <v>8</v>
      </c>
      <c r="K155" s="27">
        <f t="shared" si="5"/>
        <v>10994.880000000001</v>
      </c>
      <c r="L155" s="27">
        <v>7188.96</v>
      </c>
      <c r="M155" s="27">
        <v>3805.92</v>
      </c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6</v>
      </c>
      <c r="J157" s="26">
        <v>6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15</v>
      </c>
      <c r="I158" s="1">
        <v>5</v>
      </c>
      <c r="J158" s="26">
        <v>5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29</v>
      </c>
      <c r="I160" s="1">
        <v>25</v>
      </c>
      <c r="J160" s="26">
        <v>27</v>
      </c>
      <c r="K160" s="27">
        <f t="shared" si="5"/>
        <v>26981.67</v>
      </c>
      <c r="L160" s="27">
        <f>14455.97+3245.6</f>
        <v>17701.57</v>
      </c>
      <c r="M160" s="27">
        <v>9280.1</v>
      </c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23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29</v>
      </c>
      <c r="I169" s="1">
        <v>9</v>
      </c>
      <c r="J169" s="26">
        <v>9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8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4</v>
      </c>
      <c r="J173" s="26">
        <v>4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17377.599999999999</v>
      </c>
      <c r="L174" s="27">
        <v>17377.599999999999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5</v>
      </c>
      <c r="J175" s="26">
        <v>6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15</v>
      </c>
      <c r="J177" s="26">
        <v>23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12</v>
      </c>
      <c r="J181" s="26">
        <v>12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54</v>
      </c>
      <c r="I182" s="1">
        <v>49</v>
      </c>
      <c r="J182" s="26">
        <v>49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8</v>
      </c>
      <c r="J183" s="26">
        <v>8</v>
      </c>
      <c r="K183" s="27">
        <f t="shared" si="5"/>
        <v>10125.5</v>
      </c>
      <c r="L183" s="27">
        <v>10125.5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57</v>
      </c>
      <c r="I184" s="1">
        <v>38</v>
      </c>
      <c r="J184" s="26">
        <v>40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74</v>
      </c>
      <c r="I185" s="1">
        <v>63</v>
      </c>
      <c r="J185" s="26">
        <v>63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41</v>
      </c>
      <c r="I186" s="1">
        <v>13</v>
      </c>
      <c r="J186" s="44">
        <v>13</v>
      </c>
      <c r="K186" s="27">
        <f t="shared" si="5"/>
        <v>32347.32</v>
      </c>
      <c r="L186" s="27">
        <v>32347.32</v>
      </c>
      <c r="M186" s="27"/>
      <c r="N186" s="1">
        <v>21</v>
      </c>
      <c r="O186" s="27">
        <f t="shared" si="6"/>
        <v>33010.089999999997</v>
      </c>
      <c r="P186" s="27">
        <v>33010.089999999997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24</v>
      </c>
      <c r="I189" s="38">
        <v>6</v>
      </c>
      <c r="J189" s="43">
        <v>6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14</v>
      </c>
      <c r="J191" s="26">
        <v>15</v>
      </c>
      <c r="K191" s="27">
        <f t="shared" si="5"/>
        <v>29539.64</v>
      </c>
      <c r="L191" s="27">
        <v>29539.64</v>
      </c>
      <c r="M191" s="27"/>
      <c r="N191" s="1">
        <v>21</v>
      </c>
      <c r="O191" s="27">
        <f t="shared" si="6"/>
        <v>93568.56</v>
      </c>
      <c r="P191" s="27">
        <v>93568.56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12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5</v>
      </c>
      <c r="J193" s="26">
        <v>5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38</v>
      </c>
      <c r="I194" s="2">
        <v>33</v>
      </c>
      <c r="J194" s="26">
        <v>35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52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31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9</v>
      </c>
      <c r="I204" s="56"/>
      <c r="J204" s="57"/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1</v>
      </c>
      <c r="J207" s="51">
        <v>1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3532</v>
      </c>
      <c r="I208" s="88">
        <f>SUM(I10:I207)</f>
        <v>1910</v>
      </c>
      <c r="J208" s="88">
        <f>SUM(J10:J207)</f>
        <v>2112</v>
      </c>
      <c r="K208" s="90">
        <f>SUM(K10:K207)</f>
        <v>1631399.0899999999</v>
      </c>
      <c r="L208" s="90">
        <f t="shared" ref="L208:M208" si="9">SUM(L10:L207)</f>
        <v>1590770.84</v>
      </c>
      <c r="M208" s="88">
        <f t="shared" si="9"/>
        <v>40628.249999999993</v>
      </c>
      <c r="N208" s="88">
        <f>SUM(N10:N207)</f>
        <v>1232</v>
      </c>
      <c r="O208" s="90">
        <f>SUM(O10:O207)</f>
        <v>3444487.6199999996</v>
      </c>
      <c r="P208" s="90">
        <f>SUM(P10:P207)</f>
        <v>3390429.17</v>
      </c>
      <c r="Q208" s="90">
        <f>SUM(Q10:Q207)</f>
        <v>54058.450000000004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R223"/>
  <sheetViews>
    <sheetView topLeftCell="A197" zoomScaleNormal="100" workbookViewId="0">
      <selection activeCell="H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32</v>
      </c>
      <c r="I11" s="1">
        <v>12</v>
      </c>
      <c r="J11" s="26">
        <v>12</v>
      </c>
      <c r="K11" s="27">
        <f t="shared" ref="K11:K75" si="1">L11+M11</f>
        <v>21196.9</v>
      </c>
      <c r="L11" s="27">
        <v>21196.9</v>
      </c>
      <c r="M11" s="27"/>
      <c r="N11" s="1">
        <v>18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59</v>
      </c>
      <c r="I12" s="1">
        <v>29</v>
      </c>
      <c r="J12" s="26">
        <v>38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21943.440000000002</v>
      </c>
      <c r="L14" s="27">
        <f>14230.66+5072.85</f>
        <v>19303.510000000002</v>
      </c>
      <c r="M14" s="27">
        <v>2639.93</v>
      </c>
      <c r="N14" s="1">
        <v>20</v>
      </c>
      <c r="O14" s="27">
        <f t="shared" si="2"/>
        <v>61466.06</v>
      </c>
      <c r="P14" s="27">
        <f>30961.32+3533.25+1548.6</f>
        <v>36043.17</v>
      </c>
      <c r="Q14" s="27">
        <v>25422.89</v>
      </c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61</v>
      </c>
      <c r="I16" s="1">
        <v>51</v>
      </c>
      <c r="J16" s="26">
        <v>64</v>
      </c>
      <c r="K16" s="27">
        <f t="shared" si="1"/>
        <v>51173.75</v>
      </c>
      <c r="L16" s="27">
        <f>35564.14+8759.8</f>
        <v>44323.94</v>
      </c>
      <c r="M16" s="27">
        <v>6849.81</v>
      </c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64</v>
      </c>
      <c r="I20" s="1">
        <v>47</v>
      </c>
      <c r="J20" s="26">
        <v>50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5</v>
      </c>
      <c r="J22" s="26">
        <v>5</v>
      </c>
      <c r="K22" s="27">
        <f t="shared" si="1"/>
        <v>9389.0999999999985</v>
      </c>
      <c r="L22" s="27">
        <v>8756.4700000000012</v>
      </c>
      <c r="M22" s="27">
        <v>632.62999999999738</v>
      </c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/>
      <c r="L26" s="27"/>
      <c r="M26" s="27"/>
      <c r="N26" s="1"/>
      <c r="O26" s="27"/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23</v>
      </c>
      <c r="I27" s="40">
        <v>8</v>
      </c>
      <c r="J27" s="43">
        <v>8</v>
      </c>
      <c r="K27" s="27">
        <f t="shared" si="1"/>
        <v>3313.8</v>
      </c>
      <c r="L27" s="39">
        <v>3313.8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40</v>
      </c>
      <c r="I31" s="1">
        <v>21</v>
      </c>
      <c r="J31" s="26">
        <v>26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27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16</v>
      </c>
      <c r="I33" s="2">
        <v>6</v>
      </c>
      <c r="J33" s="26">
        <v>6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29</v>
      </c>
      <c r="I34" s="1">
        <v>22</v>
      </c>
      <c r="J34" s="26">
        <v>35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2</v>
      </c>
      <c r="J37" s="26">
        <v>2</v>
      </c>
      <c r="K37" s="27">
        <f t="shared" si="1"/>
        <v>1817.2999999999997</v>
      </c>
      <c r="L37" s="27">
        <v>528.6</v>
      </c>
      <c r="M37" s="27">
        <v>1288.6999999999998</v>
      </c>
      <c r="N37" s="1">
        <v>8</v>
      </c>
      <c r="O37" s="27">
        <f t="shared" si="2"/>
        <v>19606.04</v>
      </c>
      <c r="P37" s="27">
        <v>18317.34</v>
      </c>
      <c r="Q37" s="27">
        <v>1288.7000000000007</v>
      </c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11</v>
      </c>
      <c r="J38" s="26">
        <v>11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8</v>
      </c>
      <c r="J39" s="26">
        <v>8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28</v>
      </c>
      <c r="I40" s="1">
        <v>23</v>
      </c>
      <c r="J40" s="26">
        <v>27</v>
      </c>
      <c r="K40" s="27">
        <f t="shared" si="1"/>
        <v>17627.599999999999</v>
      </c>
      <c r="L40" s="27">
        <v>17627.599999999999</v>
      </c>
      <c r="M40" s="27"/>
      <c r="N40" s="1">
        <v>16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10</v>
      </c>
      <c r="J41" s="26">
        <v>10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20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24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7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34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0</v>
      </c>
      <c r="L47" s="27"/>
      <c r="M47" s="27"/>
      <c r="N47" s="1">
        <v>7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13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23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5</v>
      </c>
      <c r="J51" s="26">
        <v>5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34</v>
      </c>
      <c r="I55" s="1">
        <v>21</v>
      </c>
      <c r="J55" s="26">
        <v>21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63564.07</v>
      </c>
      <c r="P55" s="27">
        <f>44392.14+10213.78</f>
        <v>54605.919999999998</v>
      </c>
      <c r="Q55" s="27">
        <v>8958.15</v>
      </c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0</v>
      </c>
      <c r="L57" s="27"/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38</v>
      </c>
      <c r="I58" s="2">
        <v>23</v>
      </c>
      <c r="J58" s="26">
        <v>25</v>
      </c>
      <c r="K58" s="27">
        <f>L58+M58</f>
        <v>18343.7</v>
      </c>
      <c r="L58" s="27">
        <v>16502.7</v>
      </c>
      <c r="M58" s="27">
        <v>1841</v>
      </c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53</v>
      </c>
      <c r="I61" s="26">
        <v>33</v>
      </c>
      <c r="J61" s="26">
        <v>33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30</v>
      </c>
      <c r="J62" s="26">
        <v>30</v>
      </c>
      <c r="K62" s="27">
        <f t="shared" si="1"/>
        <v>35313.24</v>
      </c>
      <c r="L62" s="27">
        <f>26838.02+8475.22</f>
        <v>35313.24</v>
      </c>
      <c r="M62" s="27"/>
      <c r="N62" s="1">
        <v>21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37</v>
      </c>
      <c r="I63" s="1">
        <v>27</v>
      </c>
      <c r="J63" s="26">
        <v>30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32954.9</v>
      </c>
      <c r="P64" s="27">
        <v>31113.9</v>
      </c>
      <c r="Q64" s="27">
        <v>1841</v>
      </c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14</v>
      </c>
      <c r="J68" s="26">
        <v>14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32</v>
      </c>
      <c r="I70" s="1">
        <v>17</v>
      </c>
      <c r="J70" s="26">
        <v>21</v>
      </c>
      <c r="K70" s="27">
        <f t="shared" si="1"/>
        <v>7602.67</v>
      </c>
      <c r="L70" s="27">
        <f>1046.63+352.4</f>
        <v>1399.0300000000002</v>
      </c>
      <c r="M70" s="27">
        <v>6203.64</v>
      </c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36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57</v>
      </c>
      <c r="I73" s="1">
        <v>37</v>
      </c>
      <c r="J73" s="26">
        <v>38</v>
      </c>
      <c r="K73" s="27">
        <f t="shared" si="1"/>
        <v>25040.720000000001</v>
      </c>
      <c r="L73" s="27">
        <f>12414.92+6708.46</f>
        <v>19123.38</v>
      </c>
      <c r="M73" s="27">
        <v>5917.34</v>
      </c>
      <c r="N73" s="1">
        <v>25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48</v>
      </c>
      <c r="I75" s="1">
        <v>38</v>
      </c>
      <c r="J75" s="26">
        <v>39</v>
      </c>
      <c r="K75" s="27">
        <f t="shared" si="1"/>
        <v>26694.03</v>
      </c>
      <c r="L75" s="27">
        <f>24129.81+272.3</f>
        <v>24402.11</v>
      </c>
      <c r="M75" s="27">
        <v>2291.92</v>
      </c>
      <c r="N75" s="1">
        <v>13</v>
      </c>
      <c r="O75" s="27">
        <f t="shared" si="2"/>
        <v>40094.129999999997</v>
      </c>
      <c r="P75" s="27">
        <f>31150.39+2019.52</f>
        <v>33169.909999999996</v>
      </c>
      <c r="Q75" s="27">
        <v>6924.22</v>
      </c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16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11</v>
      </c>
      <c r="O77" s="27">
        <f t="shared" si="4"/>
        <v>45176.94</v>
      </c>
      <c r="P77" s="27">
        <v>45176.94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24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21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31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65187.360000000001</v>
      </c>
      <c r="P80" s="27">
        <v>59901.36</v>
      </c>
      <c r="Q80" s="27">
        <v>5286</v>
      </c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3</v>
      </c>
      <c r="J82" s="26">
        <v>3</v>
      </c>
      <c r="K82" s="27">
        <f t="shared" si="3"/>
        <v>4234.3</v>
      </c>
      <c r="L82" s="27">
        <v>4234.3</v>
      </c>
      <c r="M82" s="27"/>
      <c r="N82" s="1">
        <v>14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20</v>
      </c>
      <c r="J83" s="26">
        <v>21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104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52</v>
      </c>
      <c r="I89" s="1">
        <v>46</v>
      </c>
      <c r="J89" s="26">
        <v>47</v>
      </c>
      <c r="K89" s="27">
        <f t="shared" si="3"/>
        <v>40111.32</v>
      </c>
      <c r="L89" s="27">
        <f>34327.04+5784.28</f>
        <v>40111.32</v>
      </c>
      <c r="M89" s="27"/>
      <c r="N89" s="1">
        <v>19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19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9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16</v>
      </c>
      <c r="I98" s="1">
        <v>13</v>
      </c>
      <c r="J98" s="26">
        <v>15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20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11</v>
      </c>
      <c r="O104" s="27">
        <f t="shared" si="4"/>
        <v>45390.47</v>
      </c>
      <c r="P104" s="27">
        <f>34082.68+4442.35</f>
        <v>38525.03</v>
      </c>
      <c r="Q104" s="27">
        <v>6865.44</v>
      </c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28</v>
      </c>
      <c r="I105" s="1">
        <v>16</v>
      </c>
      <c r="J105" s="26">
        <v>17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37</v>
      </c>
      <c r="I107" s="1">
        <v>14</v>
      </c>
      <c r="J107" s="26">
        <v>15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19</v>
      </c>
      <c r="J108" s="26">
        <v>26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16</v>
      </c>
      <c r="J109" s="26">
        <v>16</v>
      </c>
      <c r="K109" s="27">
        <f t="shared" si="3"/>
        <v>7548.1</v>
      </c>
      <c r="L109" s="27">
        <v>7548.1</v>
      </c>
      <c r="M109" s="27"/>
      <c r="N109" s="1">
        <v>23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47</v>
      </c>
      <c r="I110" s="2">
        <v>24</v>
      </c>
      <c r="J110" s="26">
        <v>24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87197.48</v>
      </c>
      <c r="P110" s="35">
        <v>80550.14</v>
      </c>
      <c r="Q110" s="27">
        <v>6647.34</v>
      </c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5580.3</v>
      </c>
      <c r="P112" s="27">
        <v>2937.3</v>
      </c>
      <c r="Q112" s="27">
        <v>2643</v>
      </c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8918.2000000000007</v>
      </c>
      <c r="L113" s="27">
        <v>8918.2000000000007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45</v>
      </c>
      <c r="I114" s="2">
        <v>34</v>
      </c>
      <c r="J114" s="26">
        <v>40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25</v>
      </c>
      <c r="I115" s="2">
        <v>10</v>
      </c>
      <c r="J115" s="26">
        <v>10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21</v>
      </c>
      <c r="I116" s="2">
        <v>10</v>
      </c>
      <c r="J116" s="26">
        <v>10</v>
      </c>
      <c r="K116" s="27">
        <f t="shared" si="3"/>
        <v>21586.5</v>
      </c>
      <c r="L116" s="27">
        <v>11461</v>
      </c>
      <c r="M116" s="27">
        <v>10125.5</v>
      </c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39</v>
      </c>
      <c r="I117" s="1">
        <v>32</v>
      </c>
      <c r="J117" s="26">
        <v>36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38</v>
      </c>
      <c r="I121" s="1">
        <v>25</v>
      </c>
      <c r="J121" s="26">
        <v>30</v>
      </c>
      <c r="K121" s="27">
        <f t="shared" si="3"/>
        <v>26469</v>
      </c>
      <c r="L121" s="27">
        <f>23252.01+1197.18+2019.81</f>
        <v>26469</v>
      </c>
      <c r="M121" s="27"/>
      <c r="N121" s="1">
        <v>15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39</v>
      </c>
      <c r="I123" s="1">
        <v>20</v>
      </c>
      <c r="J123" s="26">
        <v>21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38</v>
      </c>
      <c r="I125" s="1">
        <v>13</v>
      </c>
      <c r="J125" s="26">
        <v>13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22</v>
      </c>
      <c r="I127" s="1">
        <v>9</v>
      </c>
      <c r="J127" s="26">
        <v>9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7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4243.3999999999996</v>
      </c>
      <c r="P128" s="27">
        <v>1850.1</v>
      </c>
      <c r="Q128" s="27">
        <v>2393.2999999999997</v>
      </c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34</v>
      </c>
      <c r="I129" s="1">
        <v>29</v>
      </c>
      <c r="J129" s="26">
        <v>30</v>
      </c>
      <c r="K129" s="27">
        <f t="shared" si="3"/>
        <v>14700.02</v>
      </c>
      <c r="L129" s="27">
        <v>14700.02</v>
      </c>
      <c r="M129" s="27"/>
      <c r="N129" s="1">
        <v>11</v>
      </c>
      <c r="O129" s="27">
        <f t="shared" si="4"/>
        <v>57464.03</v>
      </c>
      <c r="P129" s="27">
        <f>46040.89+2290.6+599.08+2645.71</f>
        <v>51576.28</v>
      </c>
      <c r="Q129" s="27">
        <v>5887.75</v>
      </c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69</v>
      </c>
      <c r="I131" s="1">
        <v>64</v>
      </c>
      <c r="J131" s="26">
        <v>66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16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23</v>
      </c>
      <c r="J133" s="26">
        <v>26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34</v>
      </c>
      <c r="I135" s="1">
        <v>29</v>
      </c>
      <c r="J135" s="26">
        <v>36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19</v>
      </c>
      <c r="J136" s="26">
        <v>19</v>
      </c>
      <c r="K136" s="27">
        <f t="shared" si="3"/>
        <v>2466.8000000000002</v>
      </c>
      <c r="L136" s="27">
        <v>2466.8000000000002</v>
      </c>
      <c r="M136" s="27"/>
      <c r="N136" s="1">
        <v>20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38</v>
      </c>
      <c r="I137" s="1">
        <v>26</v>
      </c>
      <c r="J137" s="26">
        <v>33</v>
      </c>
      <c r="K137" s="27">
        <f t="shared" si="3"/>
        <v>17808.48</v>
      </c>
      <c r="L137" s="27">
        <v>14801.52</v>
      </c>
      <c r="M137" s="27">
        <v>3006.96</v>
      </c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41</v>
      </c>
      <c r="I140" s="1">
        <v>14</v>
      </c>
      <c r="J140" s="44">
        <v>15</v>
      </c>
      <c r="K140" s="27">
        <f t="shared" ref="K140:K203" si="5">L140+M140</f>
        <v>15298.5</v>
      </c>
      <c r="L140" s="27">
        <v>15298.5</v>
      </c>
      <c r="M140" s="27"/>
      <c r="N140" s="1">
        <v>8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28</v>
      </c>
      <c r="I141" s="1">
        <v>18</v>
      </c>
      <c r="J141" s="26">
        <v>18</v>
      </c>
      <c r="K141" s="27">
        <f t="shared" si="5"/>
        <v>17283.18</v>
      </c>
      <c r="L141" s="27">
        <f>8817.93+8465.25</f>
        <v>17283.18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21</v>
      </c>
      <c r="I142" s="1">
        <v>3</v>
      </c>
      <c r="J142" s="26">
        <v>3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32</v>
      </c>
      <c r="I144" s="1">
        <v>27</v>
      </c>
      <c r="J144" s="26">
        <v>44</v>
      </c>
      <c r="K144" s="27">
        <f t="shared" si="5"/>
        <v>872.19</v>
      </c>
      <c r="L144" s="27">
        <v>872.19</v>
      </c>
      <c r="M144" s="27"/>
      <c r="N144" s="1">
        <v>25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16</v>
      </c>
      <c r="J149" s="26">
        <v>18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6</v>
      </c>
      <c r="J151" s="26">
        <v>8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50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11</v>
      </c>
      <c r="I155" s="1">
        <v>8</v>
      </c>
      <c r="J155" s="26">
        <v>8</v>
      </c>
      <c r="K155" s="27">
        <f t="shared" si="5"/>
        <v>10994.880000000001</v>
      </c>
      <c r="L155" s="27">
        <v>7188.96</v>
      </c>
      <c r="M155" s="27">
        <v>3805.92</v>
      </c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7</v>
      </c>
      <c r="J157" s="26">
        <v>7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15</v>
      </c>
      <c r="I158" s="1">
        <v>5</v>
      </c>
      <c r="J158" s="26">
        <v>5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30</v>
      </c>
      <c r="I160" s="1">
        <v>25</v>
      </c>
      <c r="J160" s="26">
        <v>27</v>
      </c>
      <c r="K160" s="27">
        <f t="shared" si="5"/>
        <v>26981.67</v>
      </c>
      <c r="L160" s="27">
        <f>14455.97+3245.6</f>
        <v>17701.57</v>
      </c>
      <c r="M160" s="27">
        <v>9280.1</v>
      </c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23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29</v>
      </c>
      <c r="I169" s="1">
        <v>9</v>
      </c>
      <c r="J169" s="26">
        <v>9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8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4</v>
      </c>
      <c r="J173" s="26">
        <v>4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23091.339999999997</v>
      </c>
      <c r="L174" s="27">
        <v>17377.599999999999</v>
      </c>
      <c r="M174" s="27">
        <v>5713.74</v>
      </c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5</v>
      </c>
      <c r="J175" s="26">
        <v>6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15</v>
      </c>
      <c r="J177" s="26">
        <v>23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13</v>
      </c>
      <c r="J181" s="26">
        <v>13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49</v>
      </c>
      <c r="J182" s="26">
        <v>49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9</v>
      </c>
      <c r="J183" s="26">
        <v>9</v>
      </c>
      <c r="K183" s="27">
        <f t="shared" si="5"/>
        <v>10125.5</v>
      </c>
      <c r="L183" s="27">
        <v>10125.5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59</v>
      </c>
      <c r="I184" s="1">
        <v>42</v>
      </c>
      <c r="J184" s="26">
        <v>44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74</v>
      </c>
      <c r="I185" s="1">
        <v>63</v>
      </c>
      <c r="J185" s="26">
        <v>63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41</v>
      </c>
      <c r="I186" s="1">
        <v>13</v>
      </c>
      <c r="J186" s="44">
        <v>13</v>
      </c>
      <c r="K186" s="27">
        <f t="shared" si="5"/>
        <v>32347.32</v>
      </c>
      <c r="L186" s="27">
        <v>32347.32</v>
      </c>
      <c r="M186" s="27"/>
      <c r="N186" s="1">
        <v>21</v>
      </c>
      <c r="O186" s="27">
        <f t="shared" si="6"/>
        <v>48701.81</v>
      </c>
      <c r="P186" s="27">
        <v>33010.089999999997</v>
      </c>
      <c r="Q186" s="27">
        <v>15691.720000000001</v>
      </c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24</v>
      </c>
      <c r="I189" s="38">
        <v>8</v>
      </c>
      <c r="J189" s="43">
        <v>8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14</v>
      </c>
      <c r="J191" s="26">
        <v>15</v>
      </c>
      <c r="K191" s="27">
        <f t="shared" si="5"/>
        <v>39740.46</v>
      </c>
      <c r="L191" s="27">
        <v>29539.64</v>
      </c>
      <c r="M191" s="27">
        <v>10200.82</v>
      </c>
      <c r="N191" s="1">
        <v>21</v>
      </c>
      <c r="O191" s="27">
        <f t="shared" si="6"/>
        <v>95961.86</v>
      </c>
      <c r="P191" s="27">
        <v>93568.56</v>
      </c>
      <c r="Q191" s="27">
        <v>2393.3000000000029</v>
      </c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12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5</v>
      </c>
      <c r="J193" s="26">
        <v>5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39</v>
      </c>
      <c r="I194" s="2">
        <v>33</v>
      </c>
      <c r="J194" s="26">
        <v>35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53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32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9</v>
      </c>
      <c r="I204" s="56">
        <v>1</v>
      </c>
      <c r="J204" s="57">
        <v>1</v>
      </c>
      <c r="K204" s="39"/>
      <c r="L204" s="58"/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2</v>
      </c>
      <c r="J207" s="51">
        <v>2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3571</v>
      </c>
      <c r="I208" s="88">
        <f>SUM(I10:I207)</f>
        <v>1961</v>
      </c>
      <c r="J208" s="88">
        <f>SUM(J10:J207)</f>
        <v>2170</v>
      </c>
      <c r="K208" s="90">
        <f>SUM(K10:K207)</f>
        <v>1660568.8499999999</v>
      </c>
      <c r="L208" s="90">
        <f t="shared" ref="L208:M208" si="9">SUM(L10:L207)</f>
        <v>1590770.84</v>
      </c>
      <c r="M208" s="88">
        <f t="shared" si="9"/>
        <v>69798.00999999998</v>
      </c>
      <c r="N208" s="88">
        <f>SUM(N10:N207)</f>
        <v>1241</v>
      </c>
      <c r="O208" s="90">
        <f>SUM(O10:O207)</f>
        <v>3482671.9799999995</v>
      </c>
      <c r="P208" s="90">
        <f>SUM(P10:P207)</f>
        <v>3390429.17</v>
      </c>
      <c r="Q208" s="90">
        <f>SUM(Q10:Q207)</f>
        <v>92242.810000000012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R223"/>
  <sheetViews>
    <sheetView topLeftCell="A191" zoomScale="75" zoomScaleNormal="75" workbookViewId="0">
      <selection activeCell="E208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32</v>
      </c>
      <c r="I11" s="1">
        <v>12</v>
      </c>
      <c r="J11" s="26">
        <v>12</v>
      </c>
      <c r="K11" s="27">
        <f t="shared" ref="K11:K75" si="1">L11+M11</f>
        <v>21196.9</v>
      </c>
      <c r="L11" s="27">
        <v>21196.9</v>
      </c>
      <c r="M11" s="27"/>
      <c r="N11" s="1">
        <v>18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59</v>
      </c>
      <c r="I12" s="1">
        <v>29</v>
      </c>
      <c r="J12" s="26">
        <v>38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3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21943.439999999999</v>
      </c>
      <c r="L14" s="27">
        <v>21943.439999999999</v>
      </c>
      <c r="M14" s="27"/>
      <c r="N14" s="1">
        <v>20</v>
      </c>
      <c r="O14" s="27">
        <f t="shared" si="2"/>
        <v>61466.06</v>
      </c>
      <c r="P14" s="27">
        <v>61466.06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61</v>
      </c>
      <c r="I16" s="1">
        <v>51</v>
      </c>
      <c r="J16" s="26">
        <v>64</v>
      </c>
      <c r="K16" s="27">
        <f t="shared" si="1"/>
        <v>51173.75</v>
      </c>
      <c r="L16" s="27">
        <v>51173.75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64</v>
      </c>
      <c r="I20" s="1">
        <v>47</v>
      </c>
      <c r="J20" s="26">
        <v>50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5</v>
      </c>
      <c r="J22" s="26">
        <v>5</v>
      </c>
      <c r="K22" s="27">
        <f t="shared" si="1"/>
        <v>9389.1</v>
      </c>
      <c r="L22" s="27">
        <v>9389.1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>
        <f t="shared" si="1"/>
        <v>0</v>
      </c>
      <c r="L26" s="27"/>
      <c r="M26" s="27"/>
      <c r="N26" s="1"/>
      <c r="O26" s="27">
        <f t="shared" si="2"/>
        <v>0</v>
      </c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23</v>
      </c>
      <c r="I27" s="40">
        <v>8</v>
      </c>
      <c r="J27" s="43">
        <v>8</v>
      </c>
      <c r="K27" s="27">
        <f t="shared" si="1"/>
        <v>3313.8</v>
      </c>
      <c r="L27" s="39">
        <v>3313.8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19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40</v>
      </c>
      <c r="I31" s="1">
        <v>21</v>
      </c>
      <c r="J31" s="26">
        <v>26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27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16</v>
      </c>
      <c r="I33" s="2">
        <v>6</v>
      </c>
      <c r="J33" s="26">
        <v>6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29</v>
      </c>
      <c r="I34" s="1">
        <v>22</v>
      </c>
      <c r="J34" s="26">
        <v>35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2</v>
      </c>
      <c r="J37" s="26">
        <v>2</v>
      </c>
      <c r="K37" s="27">
        <f t="shared" si="1"/>
        <v>1817.3</v>
      </c>
      <c r="L37" s="27">
        <v>1817.3</v>
      </c>
      <c r="M37" s="27"/>
      <c r="N37" s="1">
        <v>8</v>
      </c>
      <c r="O37" s="27">
        <f t="shared" si="2"/>
        <v>19606.04</v>
      </c>
      <c r="P37" s="27">
        <v>19606.04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19</v>
      </c>
      <c r="I38" s="1">
        <v>11</v>
      </c>
      <c r="J38" s="26">
        <v>11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8</v>
      </c>
      <c r="J39" s="26">
        <v>8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28</v>
      </c>
      <c r="I40" s="1">
        <v>23</v>
      </c>
      <c r="J40" s="26">
        <v>27</v>
      </c>
      <c r="K40" s="27">
        <f t="shared" si="1"/>
        <v>17627.599999999999</v>
      </c>
      <c r="L40" s="27">
        <v>17627.599999999999</v>
      </c>
      <c r="M40" s="27"/>
      <c r="N40" s="1">
        <v>16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10</v>
      </c>
      <c r="J41" s="26">
        <v>10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20</v>
      </c>
      <c r="I42" s="1">
        <v>11</v>
      </c>
      <c r="J42" s="26">
        <v>12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24</v>
      </c>
      <c r="I43" s="1">
        <v>2</v>
      </c>
      <c r="J43" s="26">
        <v>2</v>
      </c>
      <c r="K43" s="27">
        <f t="shared" si="1"/>
        <v>1841</v>
      </c>
      <c r="L43" s="27">
        <v>1841</v>
      </c>
      <c r="M43" s="27"/>
      <c r="N43" s="1">
        <v>7</v>
      </c>
      <c r="O43" s="27">
        <f t="shared" si="2"/>
        <v>13861.99</v>
      </c>
      <c r="P43" s="27">
        <v>13861.99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34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0</v>
      </c>
      <c r="L47" s="27"/>
      <c r="M47" s="27"/>
      <c r="N47" s="1">
        <v>7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13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23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5</v>
      </c>
      <c r="J51" s="26">
        <v>5</v>
      </c>
      <c r="K51" s="27">
        <f>L51+M51</f>
        <v>9126.77</v>
      </c>
      <c r="L51" s="27">
        <v>9126.77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34</v>
      </c>
      <c r="I55" s="1">
        <v>21</v>
      </c>
      <c r="J55" s="26">
        <v>21</v>
      </c>
      <c r="K55" s="27">
        <f t="shared" si="1"/>
        <v>3401.55</v>
      </c>
      <c r="L55" s="27">
        <v>3401.55</v>
      </c>
      <c r="M55" s="27"/>
      <c r="N55" s="1">
        <v>12</v>
      </c>
      <c r="O55" s="27">
        <f t="shared" si="2"/>
        <v>63564.07</v>
      </c>
      <c r="P55" s="27">
        <v>63564.07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2430.12</v>
      </c>
      <c r="L57" s="27">
        <v>2430.12</v>
      </c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38</v>
      </c>
      <c r="I58" s="2">
        <v>23</v>
      </c>
      <c r="J58" s="26">
        <v>25</v>
      </c>
      <c r="K58" s="27">
        <f>L58+M58</f>
        <v>18343.7</v>
      </c>
      <c r="L58" s="27">
        <v>18343.7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53</v>
      </c>
      <c r="I61" s="26">
        <v>33</v>
      </c>
      <c r="J61" s="26">
        <v>33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30</v>
      </c>
      <c r="J62" s="26">
        <v>30</v>
      </c>
      <c r="K62" s="27">
        <f t="shared" si="1"/>
        <v>35313.24</v>
      </c>
      <c r="L62" s="27">
        <f>26838.02+8475.22</f>
        <v>35313.24</v>
      </c>
      <c r="M62" s="27"/>
      <c r="N62" s="1">
        <v>21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37</v>
      </c>
      <c r="I63" s="1">
        <v>27</v>
      </c>
      <c r="J63" s="26">
        <v>30</v>
      </c>
      <c r="K63" s="27">
        <f t="shared" si="1"/>
        <v>17177.3</v>
      </c>
      <c r="L63" s="27">
        <f>12863.92+4313.38</f>
        <v>17177.3</v>
      </c>
      <c r="M63" s="27"/>
      <c r="N63" s="1">
        <v>14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24</v>
      </c>
      <c r="I64" s="1">
        <v>5</v>
      </c>
      <c r="J64" s="26">
        <v>6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32954.9</v>
      </c>
      <c r="P64" s="27">
        <v>32954.9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14</v>
      </c>
      <c r="J68" s="26">
        <v>14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5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32</v>
      </c>
      <c r="I70" s="1">
        <v>17</v>
      </c>
      <c r="J70" s="26">
        <v>21</v>
      </c>
      <c r="K70" s="27">
        <f t="shared" si="1"/>
        <v>7602.67</v>
      </c>
      <c r="L70" s="27">
        <v>7602.67</v>
      </c>
      <c r="M70" s="27"/>
      <c r="N70" s="1">
        <v>11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36</v>
      </c>
      <c r="I72" s="2">
        <v>21</v>
      </c>
      <c r="J72" s="26">
        <v>22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57</v>
      </c>
      <c r="I73" s="1">
        <v>37</v>
      </c>
      <c r="J73" s="26">
        <v>38</v>
      </c>
      <c r="K73" s="27">
        <f t="shared" si="1"/>
        <v>25040.720000000001</v>
      </c>
      <c r="L73" s="27">
        <v>25040.720000000001</v>
      </c>
      <c r="M73" s="27"/>
      <c r="N73" s="1">
        <v>25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48</v>
      </c>
      <c r="I75" s="1">
        <v>38</v>
      </c>
      <c r="J75" s="26">
        <v>39</v>
      </c>
      <c r="K75" s="27">
        <f t="shared" si="1"/>
        <v>26694.03</v>
      </c>
      <c r="L75" s="27">
        <v>26694.03</v>
      </c>
      <c r="M75" s="27"/>
      <c r="N75" s="1">
        <v>13</v>
      </c>
      <c r="O75" s="27">
        <f t="shared" si="2"/>
        <v>40094.129999999997</v>
      </c>
      <c r="P75" s="27">
        <v>40094.129999999997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16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11</v>
      </c>
      <c r="O77" s="27">
        <f t="shared" si="4"/>
        <v>45176.94</v>
      </c>
      <c r="P77" s="27">
        <v>45176.94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24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21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31</v>
      </c>
      <c r="I80" s="2">
        <v>7</v>
      </c>
      <c r="J80" s="26">
        <v>7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65187.360000000001</v>
      </c>
      <c r="P80" s="27">
        <v>65187.360000000001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6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3</v>
      </c>
      <c r="J82" s="26">
        <v>3</v>
      </c>
      <c r="K82" s="27">
        <f t="shared" si="3"/>
        <v>4234.3</v>
      </c>
      <c r="L82" s="27">
        <v>4234.3</v>
      </c>
      <c r="M82" s="27"/>
      <c r="N82" s="1">
        <v>14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20</v>
      </c>
      <c r="J83" s="26">
        <v>21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104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1</v>
      </c>
      <c r="J86" s="43">
        <v>1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52</v>
      </c>
      <c r="I89" s="1">
        <v>46</v>
      </c>
      <c r="J89" s="26">
        <v>47</v>
      </c>
      <c r="K89" s="27">
        <f t="shared" si="3"/>
        <v>40111.32</v>
      </c>
      <c r="L89" s="27">
        <f>34327.04+5784.28</f>
        <v>40111.32</v>
      </c>
      <c r="M89" s="27"/>
      <c r="N89" s="1">
        <v>19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19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9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16</v>
      </c>
      <c r="I98" s="1">
        <v>13</v>
      </c>
      <c r="J98" s="26">
        <v>15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2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20</v>
      </c>
      <c r="J104" s="26">
        <v>21</v>
      </c>
      <c r="K104" s="27">
        <f t="shared" si="3"/>
        <v>11380.77</v>
      </c>
      <c r="L104" s="27">
        <v>11380.77</v>
      </c>
      <c r="M104" s="27"/>
      <c r="N104" s="1">
        <v>11</v>
      </c>
      <c r="O104" s="27">
        <f t="shared" si="4"/>
        <v>45390.47</v>
      </c>
      <c r="P104" s="27">
        <v>45390.47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28</v>
      </c>
      <c r="I105" s="1">
        <v>16</v>
      </c>
      <c r="J105" s="26">
        <v>17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5</v>
      </c>
      <c r="J106" s="26">
        <v>5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37</v>
      </c>
      <c r="I107" s="1">
        <v>14</v>
      </c>
      <c r="J107" s="26">
        <v>15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19</v>
      </c>
      <c r="J108" s="26">
        <v>26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16</v>
      </c>
      <c r="J109" s="26">
        <v>16</v>
      </c>
      <c r="K109" s="27">
        <f t="shared" si="3"/>
        <v>7548.1</v>
      </c>
      <c r="L109" s="27">
        <v>7548.1</v>
      </c>
      <c r="M109" s="27"/>
      <c r="N109" s="1">
        <v>23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47</v>
      </c>
      <c r="I110" s="2">
        <v>24</v>
      </c>
      <c r="J110" s="26">
        <v>24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87197.48</v>
      </c>
      <c r="P110" s="35">
        <v>87197.48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5580.3</v>
      </c>
      <c r="P112" s="27">
        <v>5580.3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8918.2000000000007</v>
      </c>
      <c r="L113" s="27">
        <v>8918.2000000000007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45</v>
      </c>
      <c r="I114" s="2">
        <v>34</v>
      </c>
      <c r="J114" s="26">
        <v>40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25</v>
      </c>
      <c r="I115" s="2">
        <v>10</v>
      </c>
      <c r="J115" s="26">
        <v>10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21</v>
      </c>
      <c r="I116" s="2">
        <v>10</v>
      </c>
      <c r="J116" s="26">
        <v>10</v>
      </c>
      <c r="K116" s="27">
        <f t="shared" si="3"/>
        <v>21586.5</v>
      </c>
      <c r="L116" s="27">
        <v>21586.5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39</v>
      </c>
      <c r="I117" s="1">
        <v>32</v>
      </c>
      <c r="J117" s="26">
        <v>36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38</v>
      </c>
      <c r="I121" s="1">
        <v>25</v>
      </c>
      <c r="J121" s="26">
        <v>30</v>
      </c>
      <c r="K121" s="27">
        <f t="shared" si="3"/>
        <v>26469</v>
      </c>
      <c r="L121" s="27">
        <f>23252.01+1197.18+2019.81</f>
        <v>26469</v>
      </c>
      <c r="M121" s="27"/>
      <c r="N121" s="1">
        <v>15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39</v>
      </c>
      <c r="I123" s="1">
        <v>20</v>
      </c>
      <c r="J123" s="26">
        <v>21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38</v>
      </c>
      <c r="I125" s="1">
        <v>13</v>
      </c>
      <c r="J125" s="26">
        <v>13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22</v>
      </c>
      <c r="I127" s="1">
        <v>9</v>
      </c>
      <c r="J127" s="26">
        <v>9</v>
      </c>
      <c r="K127" s="27">
        <f t="shared" si="3"/>
        <v>1899.08</v>
      </c>
      <c r="L127" s="27">
        <v>1899.08</v>
      </c>
      <c r="M127" s="27"/>
      <c r="N127" s="1">
        <v>5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7</v>
      </c>
      <c r="I128" s="1">
        <v>1</v>
      </c>
      <c r="J128" s="26">
        <v>1</v>
      </c>
      <c r="K128" s="27">
        <f t="shared" si="3"/>
        <v>0</v>
      </c>
      <c r="L128" s="27"/>
      <c r="M128" s="27"/>
      <c r="N128" s="1">
        <v>1</v>
      </c>
      <c r="O128" s="27">
        <f t="shared" si="4"/>
        <v>4243.3999999999996</v>
      </c>
      <c r="P128" s="27">
        <v>4243.3999999999996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34</v>
      </c>
      <c r="I129" s="1">
        <v>29</v>
      </c>
      <c r="J129" s="26">
        <v>30</v>
      </c>
      <c r="K129" s="27">
        <f t="shared" si="3"/>
        <v>14700.02</v>
      </c>
      <c r="L129" s="27">
        <v>14700.02</v>
      </c>
      <c r="M129" s="27"/>
      <c r="N129" s="1">
        <v>11</v>
      </c>
      <c r="O129" s="27">
        <f t="shared" si="4"/>
        <v>57464.03</v>
      </c>
      <c r="P129" s="27">
        <v>57464.03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69</v>
      </c>
      <c r="I131" s="1">
        <v>64</v>
      </c>
      <c r="J131" s="26">
        <v>66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16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23</v>
      </c>
      <c r="J133" s="26">
        <v>26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34</v>
      </c>
      <c r="I135" s="1">
        <v>29</v>
      </c>
      <c r="J135" s="26">
        <v>36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19</v>
      </c>
      <c r="J136" s="26">
        <v>19</v>
      </c>
      <c r="K136" s="27">
        <f t="shared" si="3"/>
        <v>2466.8000000000002</v>
      </c>
      <c r="L136" s="27">
        <v>2466.8000000000002</v>
      </c>
      <c r="M136" s="27"/>
      <c r="N136" s="1">
        <v>20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38</v>
      </c>
      <c r="I137" s="1">
        <v>26</v>
      </c>
      <c r="J137" s="26">
        <v>33</v>
      </c>
      <c r="K137" s="27">
        <f t="shared" si="3"/>
        <v>17808.48</v>
      </c>
      <c r="L137" s="27">
        <v>17808.48</v>
      </c>
      <c r="M137" s="27"/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2</v>
      </c>
      <c r="J138" s="26">
        <v>2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3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41</v>
      </c>
      <c r="I140" s="1">
        <v>14</v>
      </c>
      <c r="J140" s="44">
        <v>15</v>
      </c>
      <c r="K140" s="27">
        <f t="shared" ref="K140:K204" si="5">L140+M140</f>
        <v>15298.5</v>
      </c>
      <c r="L140" s="27">
        <v>15298.5</v>
      </c>
      <c r="M140" s="27"/>
      <c r="N140" s="1">
        <v>8</v>
      </c>
      <c r="O140" s="27">
        <f t="shared" ref="O140:O203" si="6">P140+Q140</f>
        <v>8968.58</v>
      </c>
      <c r="P140" s="27">
        <v>8968.58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28</v>
      </c>
      <c r="I141" s="1">
        <v>18</v>
      </c>
      <c r="J141" s="26">
        <v>18</v>
      </c>
      <c r="K141" s="27">
        <f t="shared" si="5"/>
        <v>17283.18</v>
      </c>
      <c r="L141" s="27">
        <f>8817.93+8465.25</f>
        <v>17283.18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21</v>
      </c>
      <c r="I142" s="1">
        <v>3</v>
      </c>
      <c r="J142" s="26">
        <v>3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16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32</v>
      </c>
      <c r="I144" s="1">
        <v>27</v>
      </c>
      <c r="J144" s="26">
        <v>44</v>
      </c>
      <c r="K144" s="27">
        <f t="shared" si="5"/>
        <v>872.19</v>
      </c>
      <c r="L144" s="27">
        <v>872.19</v>
      </c>
      <c r="M144" s="27"/>
      <c r="N144" s="1">
        <v>25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16</v>
      </c>
      <c r="J149" s="26">
        <v>18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6</v>
      </c>
      <c r="J151" s="26">
        <v>8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50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11</v>
      </c>
      <c r="I155" s="1">
        <v>8</v>
      </c>
      <c r="J155" s="26">
        <v>8</v>
      </c>
      <c r="K155" s="27">
        <f t="shared" si="5"/>
        <v>10994.88</v>
      </c>
      <c r="L155" s="27">
        <v>10994.88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7</v>
      </c>
      <c r="J157" s="26">
        <v>7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15</v>
      </c>
      <c r="I158" s="1">
        <v>5</v>
      </c>
      <c r="J158" s="26">
        <v>5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30</v>
      </c>
      <c r="I160" s="1">
        <v>25</v>
      </c>
      <c r="J160" s="26">
        <v>27</v>
      </c>
      <c r="K160" s="27">
        <f t="shared" si="5"/>
        <v>26981.67</v>
      </c>
      <c r="L160" s="27">
        <v>26981.67</v>
      </c>
      <c r="M160" s="27"/>
      <c r="N160" s="1">
        <v>9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23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29</v>
      </c>
      <c r="I169" s="1">
        <v>9</v>
      </c>
      <c r="J169" s="26">
        <v>9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1585.8</v>
      </c>
      <c r="L170" s="27">
        <v>1585.8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8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4</v>
      </c>
      <c r="J173" s="26">
        <v>4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23091.34</v>
      </c>
      <c r="L174" s="27">
        <v>23091.34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5</v>
      </c>
      <c r="J175" s="26">
        <v>6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15</v>
      </c>
      <c r="J177" s="26">
        <v>23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6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13</v>
      </c>
      <c r="J181" s="26">
        <v>13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49</v>
      </c>
      <c r="J182" s="26">
        <v>49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9</v>
      </c>
      <c r="J183" s="26">
        <v>9</v>
      </c>
      <c r="K183" s="27">
        <f t="shared" si="5"/>
        <v>10125.5</v>
      </c>
      <c r="L183" s="27">
        <v>10125.5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59</v>
      </c>
      <c r="I184" s="1">
        <v>42</v>
      </c>
      <c r="J184" s="26">
        <v>44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74</v>
      </c>
      <c r="I185" s="1">
        <v>63</v>
      </c>
      <c r="J185" s="26">
        <v>63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41</v>
      </c>
      <c r="I186" s="1">
        <v>13</v>
      </c>
      <c r="J186" s="44">
        <v>13</v>
      </c>
      <c r="K186" s="27">
        <f t="shared" si="5"/>
        <v>32347.32</v>
      </c>
      <c r="L186" s="27">
        <v>32347.32</v>
      </c>
      <c r="M186" s="27"/>
      <c r="N186" s="1">
        <v>21</v>
      </c>
      <c r="O186" s="27">
        <f t="shared" si="6"/>
        <v>48701.81</v>
      </c>
      <c r="P186" s="27">
        <v>48701.81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24</v>
      </c>
      <c r="I189" s="38">
        <v>8</v>
      </c>
      <c r="J189" s="43">
        <v>8</v>
      </c>
      <c r="K189" s="27">
        <f t="shared" si="5"/>
        <v>1656.9</v>
      </c>
      <c r="L189" s="39">
        <v>1656.9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14</v>
      </c>
      <c r="J191" s="26">
        <v>15</v>
      </c>
      <c r="K191" s="27">
        <f t="shared" si="5"/>
        <v>39740.46</v>
      </c>
      <c r="L191" s="27">
        <v>39740.46</v>
      </c>
      <c r="M191" s="27"/>
      <c r="N191" s="1">
        <v>21</v>
      </c>
      <c r="O191" s="27">
        <f t="shared" si="6"/>
        <v>95961.86</v>
      </c>
      <c r="P191" s="27">
        <v>95961.86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12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5</v>
      </c>
      <c r="J193" s="26">
        <v>5</v>
      </c>
      <c r="K193" s="27">
        <f t="shared" si="5"/>
        <v>13975.1</v>
      </c>
      <c r="L193" s="27">
        <v>13975.1</v>
      </c>
      <c r="M193" s="27"/>
      <c r="N193" s="2">
        <v>6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39</v>
      </c>
      <c r="I194" s="2">
        <v>33</v>
      </c>
      <c r="J194" s="26">
        <v>35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1233.4000000000001</v>
      </c>
      <c r="L195" s="27">
        <v>1233.4000000000001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53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32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9</v>
      </c>
      <c r="I204" s="56">
        <v>1</v>
      </c>
      <c r="J204" s="57">
        <v>1</v>
      </c>
      <c r="K204" s="27">
        <f t="shared" si="5"/>
        <v>1656.9</v>
      </c>
      <c r="L204" s="58">
        <v>1656.9</v>
      </c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2</v>
      </c>
      <c r="J207" s="51">
        <v>2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3571</v>
      </c>
      <c r="I208" s="88">
        <f>SUM(I10:I207)</f>
        <v>1961</v>
      </c>
      <c r="J208" s="88">
        <f>SUM(J10:J207)</f>
        <v>2170</v>
      </c>
      <c r="K208" s="90">
        <f>SUM(K10:K207)</f>
        <v>1664655.8699999996</v>
      </c>
      <c r="L208" s="90">
        <f t="shared" ref="L208:M208" si="9">SUM(L10:L207)</f>
        <v>1664655.8699999996</v>
      </c>
      <c r="M208" s="88">
        <f t="shared" si="9"/>
        <v>0</v>
      </c>
      <c r="N208" s="88">
        <f>SUM(N10:N207)</f>
        <v>1241</v>
      </c>
      <c r="O208" s="90">
        <f>SUM(O10:O207)</f>
        <v>3482671.9799999995</v>
      </c>
      <c r="P208" s="90">
        <f>SUM(P10:P207)</f>
        <v>3482671.9799999995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R223"/>
  <sheetViews>
    <sheetView topLeftCell="F10" zoomScaleNormal="100" workbookViewId="0">
      <selection activeCell="H10" sqref="A7:Q20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32</v>
      </c>
      <c r="I11" s="1">
        <v>12</v>
      </c>
      <c r="J11" s="26">
        <v>12</v>
      </c>
      <c r="K11" s="27">
        <f t="shared" ref="K11:K75" si="1">L11+M11</f>
        <v>23406.1</v>
      </c>
      <c r="L11" s="27">
        <v>23406.1</v>
      </c>
      <c r="M11" s="27"/>
      <c r="N11" s="1">
        <v>18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65</v>
      </c>
      <c r="I12" s="1">
        <v>29</v>
      </c>
      <c r="J12" s="26">
        <v>38</v>
      </c>
      <c r="K12" s="27">
        <f t="shared" si="1"/>
        <v>6583.05</v>
      </c>
      <c r="L12" s="27">
        <v>6583.05</v>
      </c>
      <c r="M12" s="27"/>
      <c r="N12" s="1">
        <v>13</v>
      </c>
      <c r="O12" s="27">
        <f t="shared" si="2"/>
        <v>26019.82</v>
      </c>
      <c r="P12" s="27">
        <v>26019.82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6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21943.439999999999</v>
      </c>
      <c r="L14" s="27">
        <v>21943.439999999999</v>
      </c>
      <c r="M14" s="27"/>
      <c r="N14" s="1">
        <v>20</v>
      </c>
      <c r="O14" s="27">
        <f t="shared" si="2"/>
        <v>61466.06</v>
      </c>
      <c r="P14" s="27">
        <v>61466.06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65</v>
      </c>
      <c r="I16" s="1">
        <v>51</v>
      </c>
      <c r="J16" s="26">
        <v>66</v>
      </c>
      <c r="K16" s="27">
        <f t="shared" si="1"/>
        <v>51173.75</v>
      </c>
      <c r="L16" s="27">
        <v>51173.75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68</v>
      </c>
      <c r="I20" s="1">
        <v>47</v>
      </c>
      <c r="J20" s="26">
        <v>50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6</v>
      </c>
      <c r="J22" s="26">
        <v>6</v>
      </c>
      <c r="K22" s="27">
        <f t="shared" si="1"/>
        <v>9389.1</v>
      </c>
      <c r="L22" s="27">
        <v>9389.1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>
        <f t="shared" si="1"/>
        <v>0</v>
      </c>
      <c r="L26" s="27"/>
      <c r="M26" s="27"/>
      <c r="N26" s="1"/>
      <c r="O26" s="27">
        <f t="shared" si="2"/>
        <v>0</v>
      </c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25</v>
      </c>
      <c r="I27" s="40">
        <v>11</v>
      </c>
      <c r="J27" s="43">
        <v>11</v>
      </c>
      <c r="K27" s="27">
        <f t="shared" si="1"/>
        <v>8411.92</v>
      </c>
      <c r="L27" s="39">
        <v>8411.92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21</v>
      </c>
      <c r="I29" s="1">
        <v>13</v>
      </c>
      <c r="J29" s="44">
        <v>16</v>
      </c>
      <c r="K29" s="27">
        <f t="shared" si="1"/>
        <v>18888.64</v>
      </c>
      <c r="L29" s="27">
        <v>18888.64</v>
      </c>
      <c r="M29" s="27"/>
      <c r="N29" s="1">
        <v>4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42</v>
      </c>
      <c r="I31" s="1">
        <v>21</v>
      </c>
      <c r="J31" s="26">
        <v>26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27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16</v>
      </c>
      <c r="I33" s="2">
        <v>6</v>
      </c>
      <c r="J33" s="26">
        <v>6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30</v>
      </c>
      <c r="I34" s="1">
        <v>22</v>
      </c>
      <c r="J34" s="26">
        <v>35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3</v>
      </c>
      <c r="J37" s="26">
        <v>3</v>
      </c>
      <c r="K37" s="27">
        <f t="shared" si="1"/>
        <v>1817.3</v>
      </c>
      <c r="L37" s="27">
        <v>1817.3</v>
      </c>
      <c r="M37" s="27"/>
      <c r="N37" s="1">
        <v>8</v>
      </c>
      <c r="O37" s="27">
        <f t="shared" si="2"/>
        <v>19606.04</v>
      </c>
      <c r="P37" s="27">
        <v>19606.04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20</v>
      </c>
      <c r="I38" s="1">
        <v>11</v>
      </c>
      <c r="J38" s="26">
        <v>11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23</v>
      </c>
      <c r="I39" s="2">
        <v>8</v>
      </c>
      <c r="J39" s="26">
        <v>8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30</v>
      </c>
      <c r="I40" s="1">
        <v>23</v>
      </c>
      <c r="J40" s="26">
        <v>27</v>
      </c>
      <c r="K40" s="27">
        <f t="shared" si="1"/>
        <v>17627.599999999999</v>
      </c>
      <c r="L40" s="27">
        <v>17627.599999999999</v>
      </c>
      <c r="M40" s="27"/>
      <c r="N40" s="1">
        <v>16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10</v>
      </c>
      <c r="J41" s="26">
        <v>10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20</v>
      </c>
      <c r="I42" s="1">
        <v>15</v>
      </c>
      <c r="J42" s="26">
        <v>15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25</v>
      </c>
      <c r="I43" s="1">
        <v>2</v>
      </c>
      <c r="J43" s="26">
        <v>2</v>
      </c>
      <c r="K43" s="27">
        <f t="shared" si="1"/>
        <v>2945.6</v>
      </c>
      <c r="L43" s="27">
        <v>2945.6</v>
      </c>
      <c r="M43" s="27"/>
      <c r="N43" s="1">
        <v>8</v>
      </c>
      <c r="O43" s="27">
        <f t="shared" si="2"/>
        <v>14414.29</v>
      </c>
      <c r="P43" s="27">
        <v>14414.29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35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0</v>
      </c>
      <c r="L47" s="27"/>
      <c r="M47" s="27"/>
      <c r="N47" s="1">
        <v>7</v>
      </c>
      <c r="O47" s="27">
        <f t="shared" si="2"/>
        <v>6431.3</v>
      </c>
      <c r="P47" s="27">
        <v>6431.3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13</v>
      </c>
      <c r="I49" s="1">
        <v>2</v>
      </c>
      <c r="J49" s="26">
        <v>2</v>
      </c>
      <c r="K49" s="27">
        <f t="shared" si="1"/>
        <v>3534.72</v>
      </c>
      <c r="L49" s="27">
        <v>3534.72</v>
      </c>
      <c r="M49" s="27"/>
      <c r="N49" s="1">
        <v>9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24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5</v>
      </c>
      <c r="J51" s="26">
        <v>5</v>
      </c>
      <c r="K51" s="27">
        <f>L51+M51</f>
        <v>13230.45</v>
      </c>
      <c r="L51" s="27">
        <v>13230.45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39</v>
      </c>
      <c r="I55" s="1">
        <v>24</v>
      </c>
      <c r="J55" s="26">
        <v>24</v>
      </c>
      <c r="K55" s="27">
        <f t="shared" si="1"/>
        <v>3401.55</v>
      </c>
      <c r="L55" s="27">
        <v>3401.55</v>
      </c>
      <c r="M55" s="27"/>
      <c r="N55" s="1">
        <v>14</v>
      </c>
      <c r="O55" s="27">
        <f t="shared" si="2"/>
        <v>63564.07</v>
      </c>
      <c r="P55" s="27">
        <v>63564.07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2430.12</v>
      </c>
      <c r="L57" s="27">
        <v>2430.12</v>
      </c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38</v>
      </c>
      <c r="I58" s="2">
        <v>23</v>
      </c>
      <c r="J58" s="26">
        <v>25</v>
      </c>
      <c r="K58" s="27">
        <f>L58+M58</f>
        <v>18343.7</v>
      </c>
      <c r="L58" s="27">
        <v>18343.7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57</v>
      </c>
      <c r="I61" s="26">
        <v>33</v>
      </c>
      <c r="J61" s="26">
        <v>33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32</v>
      </c>
      <c r="J62" s="26">
        <v>32</v>
      </c>
      <c r="K62" s="27">
        <f t="shared" si="1"/>
        <v>35313.24</v>
      </c>
      <c r="L62" s="27">
        <f>26838.02+8475.22</f>
        <v>35313.24</v>
      </c>
      <c r="M62" s="27"/>
      <c r="N62" s="1">
        <v>23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39</v>
      </c>
      <c r="I63" s="1">
        <v>29</v>
      </c>
      <c r="J63" s="26">
        <v>32</v>
      </c>
      <c r="K63" s="27">
        <f t="shared" si="1"/>
        <v>17177.3</v>
      </c>
      <c r="L63" s="27">
        <f>12863.92+4313.38</f>
        <v>17177.3</v>
      </c>
      <c r="M63" s="27"/>
      <c r="N63" s="1">
        <v>15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25</v>
      </c>
      <c r="I64" s="1">
        <v>5</v>
      </c>
      <c r="J64" s="26">
        <v>6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32954.9</v>
      </c>
      <c r="P64" s="27">
        <v>32954.9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16</v>
      </c>
      <c r="J68" s="26">
        <v>16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6</v>
      </c>
      <c r="O69" s="27">
        <f t="shared" si="2"/>
        <v>12270.55</v>
      </c>
      <c r="P69" s="27">
        <v>12270.55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35</v>
      </c>
      <c r="I70" s="1">
        <v>19</v>
      </c>
      <c r="J70" s="26">
        <v>23</v>
      </c>
      <c r="K70" s="27">
        <f t="shared" si="1"/>
        <v>7602.67</v>
      </c>
      <c r="L70" s="27">
        <v>7602.67</v>
      </c>
      <c r="M70" s="27"/>
      <c r="N70" s="1">
        <v>13</v>
      </c>
      <c r="O70" s="27">
        <f t="shared" si="2"/>
        <v>8807.2000000000007</v>
      </c>
      <c r="P70" s="27">
        <f>6874.29+1932.91</f>
        <v>8807.2000000000007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37</v>
      </c>
      <c r="I72" s="2">
        <v>25</v>
      </c>
      <c r="J72" s="26">
        <v>25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63</v>
      </c>
      <c r="I73" s="1">
        <v>37</v>
      </c>
      <c r="J73" s="26">
        <v>38</v>
      </c>
      <c r="K73" s="27">
        <f t="shared" si="1"/>
        <v>25040.720000000001</v>
      </c>
      <c r="L73" s="27">
        <v>25040.720000000001</v>
      </c>
      <c r="M73" s="27"/>
      <c r="N73" s="1">
        <v>25</v>
      </c>
      <c r="O73" s="27">
        <f t="shared" si="2"/>
        <v>154407.06</v>
      </c>
      <c r="P73" s="27">
        <f>109028.82+3123.6+2556.43+39698.21</f>
        <v>154407.06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50</v>
      </c>
      <c r="I75" s="1">
        <v>38</v>
      </c>
      <c r="J75" s="26">
        <v>39</v>
      </c>
      <c r="K75" s="27">
        <f t="shared" si="1"/>
        <v>26694.03</v>
      </c>
      <c r="L75" s="27">
        <v>26694.03</v>
      </c>
      <c r="M75" s="27"/>
      <c r="N75" s="1">
        <v>13</v>
      </c>
      <c r="O75" s="27">
        <f t="shared" si="2"/>
        <v>40094.129999999997</v>
      </c>
      <c r="P75" s="27">
        <v>40094.129999999997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20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11</v>
      </c>
      <c r="O77" s="27">
        <f t="shared" si="4"/>
        <v>47402.14</v>
      </c>
      <c r="P77" s="27">
        <v>47402.14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25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21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31</v>
      </c>
      <c r="I80" s="2">
        <v>9</v>
      </c>
      <c r="J80" s="26">
        <v>9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65187.360000000001</v>
      </c>
      <c r="P80" s="27">
        <v>65187.360000000001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7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4</v>
      </c>
      <c r="J82" s="26">
        <v>4</v>
      </c>
      <c r="K82" s="27">
        <f t="shared" si="3"/>
        <v>4234.3</v>
      </c>
      <c r="L82" s="27">
        <v>4234.3</v>
      </c>
      <c r="M82" s="27"/>
      <c r="N82" s="1">
        <v>15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20</v>
      </c>
      <c r="J83" s="26">
        <v>22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106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4</v>
      </c>
      <c r="J86" s="43">
        <v>4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54</v>
      </c>
      <c r="I89" s="1">
        <v>46</v>
      </c>
      <c r="J89" s="26">
        <v>47</v>
      </c>
      <c r="K89" s="27">
        <f t="shared" si="3"/>
        <v>40111.32</v>
      </c>
      <c r="L89" s="27">
        <f>34327.04+5784.28</f>
        <v>40111.32</v>
      </c>
      <c r="M89" s="27"/>
      <c r="N89" s="1">
        <v>19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21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9</v>
      </c>
      <c r="O94" s="27">
        <f t="shared" si="4"/>
        <v>10757.419999999998</v>
      </c>
      <c r="P94" s="27">
        <f>4981.94+158.58+5616.9</f>
        <v>10757.419999999998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11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17</v>
      </c>
      <c r="I98" s="1">
        <v>13</v>
      </c>
      <c r="J98" s="26">
        <v>15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4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27</v>
      </c>
      <c r="J104" s="26">
        <v>28</v>
      </c>
      <c r="K104" s="27">
        <f t="shared" si="3"/>
        <v>11380.77</v>
      </c>
      <c r="L104" s="27">
        <v>11380.77</v>
      </c>
      <c r="M104" s="27"/>
      <c r="N104" s="1">
        <v>12</v>
      </c>
      <c r="O104" s="27">
        <f t="shared" si="4"/>
        <v>45390.47</v>
      </c>
      <c r="P104" s="27">
        <v>45390.47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28</v>
      </c>
      <c r="I105" s="1">
        <v>21</v>
      </c>
      <c r="J105" s="26">
        <v>22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8</v>
      </c>
      <c r="J106" s="26">
        <v>8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37</v>
      </c>
      <c r="I107" s="1">
        <v>16</v>
      </c>
      <c r="J107" s="26">
        <v>17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21</v>
      </c>
      <c r="J108" s="26">
        <v>28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18</v>
      </c>
      <c r="J109" s="26">
        <v>18</v>
      </c>
      <c r="K109" s="27">
        <f t="shared" si="3"/>
        <v>7548.1</v>
      </c>
      <c r="L109" s="27">
        <v>7548.1</v>
      </c>
      <c r="M109" s="27"/>
      <c r="N109" s="1">
        <v>23</v>
      </c>
      <c r="O109" s="27">
        <f t="shared" si="4"/>
        <v>28762</v>
      </c>
      <c r="P109" s="27">
        <v>28762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52</v>
      </c>
      <c r="I110" s="2">
        <v>26</v>
      </c>
      <c r="J110" s="26">
        <v>26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87197.48</v>
      </c>
      <c r="P110" s="35">
        <v>87197.48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5580.3</v>
      </c>
      <c r="P112" s="27">
        <v>5580.3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11863.8</v>
      </c>
      <c r="L113" s="27">
        <v>11863.8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47</v>
      </c>
      <c r="I114" s="2">
        <v>34</v>
      </c>
      <c r="J114" s="26">
        <v>40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25</v>
      </c>
      <c r="I115" s="2">
        <v>10</v>
      </c>
      <c r="J115" s="26">
        <v>10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23</v>
      </c>
      <c r="I116" s="2">
        <v>10</v>
      </c>
      <c r="J116" s="26">
        <v>10</v>
      </c>
      <c r="K116" s="27">
        <f t="shared" si="3"/>
        <v>21586.5</v>
      </c>
      <c r="L116" s="27">
        <v>21586.5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41</v>
      </c>
      <c r="I117" s="1">
        <v>32</v>
      </c>
      <c r="J117" s="26">
        <v>36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39</v>
      </c>
      <c r="I121" s="1">
        <v>26</v>
      </c>
      <c r="J121" s="26">
        <v>31</v>
      </c>
      <c r="K121" s="27">
        <f t="shared" si="3"/>
        <v>26469</v>
      </c>
      <c r="L121" s="27">
        <f>23252.01+1197.18+2019.81</f>
        <v>26469</v>
      </c>
      <c r="M121" s="27"/>
      <c r="N121" s="1">
        <v>16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39</v>
      </c>
      <c r="I123" s="1">
        <v>23</v>
      </c>
      <c r="J123" s="26">
        <v>24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38</v>
      </c>
      <c r="I125" s="1">
        <v>13</v>
      </c>
      <c r="J125" s="26">
        <v>13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23</v>
      </c>
      <c r="I127" s="1">
        <v>11</v>
      </c>
      <c r="J127" s="26">
        <v>11</v>
      </c>
      <c r="K127" s="27">
        <f t="shared" si="3"/>
        <v>1899.08</v>
      </c>
      <c r="L127" s="27">
        <v>1899.08</v>
      </c>
      <c r="M127" s="27"/>
      <c r="N127" s="1">
        <v>6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8</v>
      </c>
      <c r="I128" s="1">
        <v>1</v>
      </c>
      <c r="J128" s="26">
        <v>1</v>
      </c>
      <c r="K128" s="27">
        <f t="shared" si="3"/>
        <v>2393.3000000000002</v>
      </c>
      <c r="L128" s="27">
        <v>2393.3000000000002</v>
      </c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36</v>
      </c>
      <c r="I129" s="1">
        <v>31</v>
      </c>
      <c r="J129" s="26">
        <v>32</v>
      </c>
      <c r="K129" s="27">
        <f t="shared" si="3"/>
        <v>14700.02</v>
      </c>
      <c r="L129" s="27">
        <v>14700.02</v>
      </c>
      <c r="M129" s="27"/>
      <c r="N129" s="1">
        <v>12</v>
      </c>
      <c r="O129" s="27">
        <f t="shared" si="4"/>
        <v>57464.03</v>
      </c>
      <c r="P129" s="27">
        <v>57464.03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71</v>
      </c>
      <c r="I131" s="1">
        <v>67</v>
      </c>
      <c r="J131" s="26">
        <v>69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16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23</v>
      </c>
      <c r="J133" s="26">
        <v>26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37</v>
      </c>
      <c r="I135" s="1">
        <v>30</v>
      </c>
      <c r="J135" s="26">
        <v>37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21</v>
      </c>
      <c r="J136" s="26">
        <v>21</v>
      </c>
      <c r="K136" s="27">
        <f t="shared" si="3"/>
        <v>2466.8000000000002</v>
      </c>
      <c r="L136" s="27">
        <v>2466.8000000000002</v>
      </c>
      <c r="M136" s="27"/>
      <c r="N136" s="1">
        <v>23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40</v>
      </c>
      <c r="I137" s="1">
        <v>31</v>
      </c>
      <c r="J137" s="26">
        <v>40</v>
      </c>
      <c r="K137" s="27">
        <f t="shared" si="3"/>
        <v>17808.48</v>
      </c>
      <c r="L137" s="27">
        <v>17808.48</v>
      </c>
      <c r="M137" s="27"/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3</v>
      </c>
      <c r="J138" s="26">
        <v>3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4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42</v>
      </c>
      <c r="I140" s="1">
        <v>14</v>
      </c>
      <c r="J140" s="44">
        <v>15</v>
      </c>
      <c r="K140" s="27">
        <f t="shared" ref="K140:K204" si="5">L140+M140</f>
        <v>17139.5</v>
      </c>
      <c r="L140" s="27">
        <v>17139.5</v>
      </c>
      <c r="M140" s="27"/>
      <c r="N140" s="1">
        <v>8</v>
      </c>
      <c r="O140" s="27">
        <f t="shared" ref="O140:O203" si="6">P140+Q140</f>
        <v>12650.58</v>
      </c>
      <c r="P140" s="27">
        <v>12650.58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29</v>
      </c>
      <c r="I141" s="1">
        <v>21</v>
      </c>
      <c r="J141" s="26">
        <v>21</v>
      </c>
      <c r="K141" s="27">
        <f t="shared" si="5"/>
        <v>17283.18</v>
      </c>
      <c r="L141" s="27">
        <f>8817.93+8465.25</f>
        <v>17283.18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21</v>
      </c>
      <c r="I142" s="1">
        <v>3</v>
      </c>
      <c r="J142" s="26">
        <v>3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17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35</v>
      </c>
      <c r="I144" s="1">
        <v>29</v>
      </c>
      <c r="J144" s="26">
        <v>47</v>
      </c>
      <c r="K144" s="27">
        <f t="shared" si="5"/>
        <v>872.19</v>
      </c>
      <c r="L144" s="27">
        <v>872.19</v>
      </c>
      <c r="M144" s="27"/>
      <c r="N144" s="1">
        <v>25</v>
      </c>
      <c r="O144" s="27">
        <f t="shared" si="6"/>
        <v>39982.019999999997</v>
      </c>
      <c r="P144" s="27">
        <f>35132.88+3580.5+1268.64</f>
        <v>39982.019999999997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4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16</v>
      </c>
      <c r="J149" s="26">
        <v>18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7</v>
      </c>
      <c r="J151" s="26">
        <v>9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52</v>
      </c>
      <c r="I152" s="1">
        <v>30</v>
      </c>
      <c r="J152" s="26">
        <v>50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19</v>
      </c>
      <c r="I153" s="1">
        <v>4</v>
      </c>
      <c r="J153" s="26">
        <v>4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16</v>
      </c>
      <c r="I155" s="1">
        <v>8</v>
      </c>
      <c r="J155" s="26">
        <v>8</v>
      </c>
      <c r="K155" s="27">
        <f t="shared" si="5"/>
        <v>10994.88</v>
      </c>
      <c r="L155" s="27">
        <v>10994.88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7</v>
      </c>
      <c r="J157" s="26">
        <v>7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16</v>
      </c>
      <c r="I158" s="1">
        <v>5</v>
      </c>
      <c r="J158" s="26">
        <v>5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30</v>
      </c>
      <c r="I160" s="1">
        <v>27</v>
      </c>
      <c r="J160" s="26">
        <v>29</v>
      </c>
      <c r="K160" s="27">
        <f t="shared" si="5"/>
        <v>26981.67</v>
      </c>
      <c r="L160" s="27">
        <v>26981.67</v>
      </c>
      <c r="M160" s="27"/>
      <c r="N160" s="1">
        <v>10</v>
      </c>
      <c r="O160" s="27">
        <f t="shared" si="6"/>
        <v>35974.990000000005</v>
      </c>
      <c r="P160" s="27">
        <f>35129.23+845.76</f>
        <v>35974.990000000005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26</v>
      </c>
      <c r="I168" s="40">
        <v>15</v>
      </c>
      <c r="J168" s="43">
        <v>16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32</v>
      </c>
      <c r="I169" s="1">
        <v>10</v>
      </c>
      <c r="J169" s="26">
        <v>10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4531.3999999999996</v>
      </c>
      <c r="L170" s="27">
        <v>4531.3999999999996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9</v>
      </c>
      <c r="I171" s="1">
        <v>2</v>
      </c>
      <c r="J171" s="26">
        <v>2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33</v>
      </c>
      <c r="I173" s="1">
        <v>11</v>
      </c>
      <c r="J173" s="26">
        <v>11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23091.34</v>
      </c>
      <c r="L174" s="27">
        <v>23091.34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6</v>
      </c>
      <c r="J175" s="26">
        <v>7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15</v>
      </c>
      <c r="J177" s="26">
        <v>23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8</v>
      </c>
      <c r="O180" s="27">
        <f t="shared" si="6"/>
        <v>9570.130000000001</v>
      </c>
      <c r="P180" s="27">
        <f>1221.57+1977.23+6371.33</f>
        <v>9570.130000000001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15</v>
      </c>
      <c r="J181" s="26">
        <v>15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51</v>
      </c>
      <c r="J182" s="26">
        <v>52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10</v>
      </c>
      <c r="J183" s="26">
        <v>10</v>
      </c>
      <c r="K183" s="27">
        <f t="shared" si="5"/>
        <v>10125.5</v>
      </c>
      <c r="L183" s="27">
        <v>10125.5</v>
      </c>
      <c r="M183" s="27"/>
      <c r="N183" s="1">
        <v>7</v>
      </c>
      <c r="O183" s="27">
        <f t="shared" si="6"/>
        <v>14216.32</v>
      </c>
      <c r="P183" s="27">
        <v>14216.32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63</v>
      </c>
      <c r="I184" s="1">
        <v>46</v>
      </c>
      <c r="J184" s="26">
        <v>48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77</v>
      </c>
      <c r="I185" s="1">
        <v>70</v>
      </c>
      <c r="J185" s="26">
        <v>70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42</v>
      </c>
      <c r="I186" s="1">
        <v>15</v>
      </c>
      <c r="J186" s="44">
        <v>15</v>
      </c>
      <c r="K186" s="27">
        <f t="shared" si="5"/>
        <v>32347.32</v>
      </c>
      <c r="L186" s="27">
        <v>32347.32</v>
      </c>
      <c r="M186" s="27"/>
      <c r="N186" s="1">
        <v>21</v>
      </c>
      <c r="O186" s="27">
        <f t="shared" si="6"/>
        <v>48701.81</v>
      </c>
      <c r="P186" s="27">
        <v>48701.81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10</v>
      </c>
      <c r="I187" s="1">
        <v>6</v>
      </c>
      <c r="J187" s="26">
        <v>6</v>
      </c>
      <c r="K187" s="27">
        <f t="shared" si="5"/>
        <v>0</v>
      </c>
      <c r="L187" s="27"/>
      <c r="M187" s="27"/>
      <c r="N187" s="1">
        <v>9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10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24</v>
      </c>
      <c r="I189" s="38">
        <v>10</v>
      </c>
      <c r="J189" s="43">
        <v>10</v>
      </c>
      <c r="K189" s="27">
        <f t="shared" si="5"/>
        <v>5707.1</v>
      </c>
      <c r="L189" s="39">
        <v>5707.1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15</v>
      </c>
      <c r="J191" s="26">
        <v>16</v>
      </c>
      <c r="K191" s="27">
        <f t="shared" si="5"/>
        <v>39740.46</v>
      </c>
      <c r="L191" s="27">
        <v>39740.46</v>
      </c>
      <c r="M191" s="27"/>
      <c r="N191" s="1">
        <v>21</v>
      </c>
      <c r="O191" s="27">
        <f t="shared" si="6"/>
        <v>95961.86</v>
      </c>
      <c r="P191" s="27">
        <v>95961.86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12</v>
      </c>
      <c r="I192" s="1">
        <v>5</v>
      </c>
      <c r="J192" s="26">
        <v>6</v>
      </c>
      <c r="K192" s="27">
        <f t="shared" si="5"/>
        <v>5733.55</v>
      </c>
      <c r="L192" s="27">
        <f>3161.03+2572.52</f>
        <v>5733.55</v>
      </c>
      <c r="M192" s="27"/>
      <c r="N192" s="1">
        <v>5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6</v>
      </c>
      <c r="J193" s="26">
        <v>6</v>
      </c>
      <c r="K193" s="27">
        <f t="shared" si="5"/>
        <v>13975.1</v>
      </c>
      <c r="L193" s="27">
        <v>13975.1</v>
      </c>
      <c r="M193" s="27"/>
      <c r="N193" s="2">
        <v>7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44</v>
      </c>
      <c r="I194" s="2">
        <v>40</v>
      </c>
      <c r="J194" s="26">
        <v>42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5651.8</v>
      </c>
      <c r="L195" s="27">
        <v>5651.8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58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32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9</v>
      </c>
      <c r="I204" s="56">
        <v>1</v>
      </c>
      <c r="J204" s="57">
        <v>1</v>
      </c>
      <c r="K204" s="27">
        <f t="shared" si="5"/>
        <v>1656.9</v>
      </c>
      <c r="L204" s="58">
        <v>1656.9</v>
      </c>
      <c r="M204" s="58"/>
      <c r="N204" s="56"/>
      <c r="O204" s="39"/>
      <c r="P204" s="58"/>
      <c r="Q204" s="58"/>
      <c r="R204" s="20"/>
    </row>
    <row r="205" spans="1:44" s="14" customFormat="1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7</v>
      </c>
      <c r="J205" s="86">
        <v>7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20"/>
      <c r="AM205" s="4"/>
      <c r="AN205" s="4"/>
      <c r="AO205" s="4"/>
      <c r="AP205" s="4"/>
      <c r="AQ205" s="4"/>
      <c r="AR205" s="4"/>
    </row>
    <row r="206" spans="1:44" s="28" customFormat="1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20"/>
    </row>
    <row r="207" spans="1:44" s="28" customFormat="1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2</v>
      </c>
      <c r="J207" s="51">
        <v>2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20"/>
    </row>
    <row r="208" spans="1:44" s="14" customFormat="1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3703</v>
      </c>
      <c r="I208" s="88">
        <f>SUM(I10:I207)</f>
        <v>2080</v>
      </c>
      <c r="J208" s="88">
        <f>SUM(J10:J207)</f>
        <v>2294</v>
      </c>
      <c r="K208" s="90">
        <f>SUM(K10:K207)</f>
        <v>1695765.57</v>
      </c>
      <c r="L208" s="90">
        <f t="shared" ref="L208:M208" si="9">SUM(L10:L207)</f>
        <v>1695765.57</v>
      </c>
      <c r="M208" s="88">
        <f t="shared" si="9"/>
        <v>0</v>
      </c>
      <c r="N208" s="88">
        <f>SUM(N10:N207)</f>
        <v>1264</v>
      </c>
      <c r="O208" s="90">
        <f>SUM(O10:O207)</f>
        <v>3486738.1799999997</v>
      </c>
      <c r="P208" s="90">
        <f>SUM(P10:P207)</f>
        <v>3486738.1799999997</v>
      </c>
      <c r="Q208" s="90">
        <f>SUM(Q10:Q207)</f>
        <v>0</v>
      </c>
      <c r="R208" s="20"/>
      <c r="AM208" s="4"/>
      <c r="AN208" s="4"/>
      <c r="AO208" s="4"/>
      <c r="AP208" s="4"/>
      <c r="AQ208" s="4"/>
      <c r="AR208" s="4"/>
    </row>
    <row r="209" spans="1:44" s="14" customFormat="1" ht="15" customHeight="1">
      <c r="A209" s="5"/>
      <c r="B209" s="6"/>
      <c r="C209" s="5"/>
      <c r="D209" s="6"/>
      <c r="E209" s="6"/>
      <c r="F209" s="6"/>
      <c r="G209" s="6"/>
      <c r="H209" s="9"/>
      <c r="I209" s="9"/>
      <c r="J209" s="9"/>
      <c r="K209" s="9"/>
      <c r="L209" s="9"/>
      <c r="M209" s="11"/>
      <c r="N209" s="9"/>
      <c r="O209" s="9"/>
      <c r="P209" s="5"/>
      <c r="Q209" s="13"/>
      <c r="R209" s="20"/>
      <c r="AM209" s="4"/>
      <c r="AN209" s="4"/>
      <c r="AO209" s="4"/>
      <c r="AP209" s="4"/>
      <c r="AQ209" s="4"/>
      <c r="AR209" s="4"/>
    </row>
    <row r="210" spans="1:44" s="14" customForma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12"/>
      <c r="N210" s="4"/>
      <c r="O210" s="4"/>
      <c r="P210" s="4"/>
      <c r="Q210" s="12"/>
      <c r="R210" s="20"/>
      <c r="AM210" s="4"/>
      <c r="AN210" s="4"/>
      <c r="AO210" s="4"/>
      <c r="AP210" s="4"/>
      <c r="AQ210" s="4"/>
      <c r="AR210" s="4"/>
    </row>
    <row r="211" spans="1:44" s="14" customForma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15"/>
      <c r="M211" s="15"/>
      <c r="N211" s="15"/>
      <c r="O211" s="15"/>
      <c r="P211" s="4"/>
      <c r="Q211" s="12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15"/>
      <c r="M212" s="12"/>
      <c r="N212" s="15"/>
      <c r="O212" s="15"/>
      <c r="P212" s="4"/>
      <c r="Q212" s="12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15"/>
      <c r="Q213" s="19"/>
      <c r="S213" s="20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5"/>
      <c r="N214" s="15"/>
      <c r="O214" s="15"/>
      <c r="P214" s="15"/>
      <c r="Q214" s="19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>
      <c r="K217" s="15"/>
      <c r="L217" s="15"/>
      <c r="M217" s="15"/>
      <c r="N217" s="15"/>
      <c r="O217" s="15"/>
      <c r="P217" s="15"/>
      <c r="Q217" s="19"/>
      <c r="S217" s="20"/>
    </row>
    <row r="219" spans="1:44">
      <c r="K219" s="15"/>
      <c r="O219" s="15"/>
      <c r="P219" s="15"/>
    </row>
    <row r="222" spans="1:44">
      <c r="O222" s="15"/>
    </row>
    <row r="223" spans="1:44" s="12" customForma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15"/>
      <c r="N223" s="4"/>
      <c r="O223" s="4"/>
      <c r="P223" s="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4"/>
      <c r="AN223" s="4"/>
      <c r="AO223" s="4"/>
      <c r="AP223" s="4"/>
      <c r="AQ223" s="4"/>
      <c r="AR223" s="4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S223"/>
  <sheetViews>
    <sheetView topLeftCell="A179" zoomScale="72" zoomScaleNormal="72" workbookViewId="0">
      <selection activeCell="H212" sqref="A1:XFD1048576"/>
    </sheetView>
  </sheetViews>
  <sheetFormatPr defaultColWidth="9" defaultRowHeight="15"/>
  <cols>
    <col min="1" max="1" width="5.28515625" style="28" customWidth="1"/>
    <col min="2" max="2" width="35.85546875" style="28" customWidth="1"/>
    <col min="3" max="3" width="13.7109375" style="28" customWidth="1"/>
    <col min="4" max="4" width="19.28515625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32</v>
      </c>
      <c r="I11" s="1">
        <v>14</v>
      </c>
      <c r="J11" s="26">
        <v>14</v>
      </c>
      <c r="K11" s="27">
        <f t="shared" ref="K11:K75" si="1">L11+M11</f>
        <v>23406.1</v>
      </c>
      <c r="L11" s="27">
        <v>23406.1</v>
      </c>
      <c r="M11" s="27"/>
      <c r="N11" s="1">
        <v>19</v>
      </c>
      <c r="O11" s="27">
        <f t="shared" ref="O11:O75" si="2">P11+Q11</f>
        <v>81389.919999999998</v>
      </c>
      <c r="P11" s="27">
        <v>81389.919999999998</v>
      </c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68</v>
      </c>
      <c r="I12" s="1">
        <v>30</v>
      </c>
      <c r="J12" s="26">
        <v>39</v>
      </c>
      <c r="K12" s="27">
        <f t="shared" si="1"/>
        <v>6583.05</v>
      </c>
      <c r="L12" s="27">
        <v>6583.05</v>
      </c>
      <c r="M12" s="27"/>
      <c r="N12" s="1">
        <v>15</v>
      </c>
      <c r="O12" s="27">
        <f t="shared" si="2"/>
        <v>26019.82</v>
      </c>
      <c r="P12" s="27">
        <v>26019.82</v>
      </c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6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21943.439999999999</v>
      </c>
      <c r="L14" s="27">
        <v>21943.439999999999</v>
      </c>
      <c r="M14" s="27"/>
      <c r="N14" s="1">
        <v>20</v>
      </c>
      <c r="O14" s="27">
        <f t="shared" si="2"/>
        <v>61466.06</v>
      </c>
      <c r="P14" s="27">
        <v>61466.06</v>
      </c>
      <c r="Q14" s="27"/>
      <c r="R14" s="31"/>
    </row>
    <row r="15" spans="1:18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66</v>
      </c>
      <c r="I16" s="1">
        <v>51</v>
      </c>
      <c r="J16" s="26">
        <v>66</v>
      </c>
      <c r="K16" s="27">
        <f t="shared" si="1"/>
        <v>51173.75</v>
      </c>
      <c r="L16" s="27">
        <v>51173.75</v>
      </c>
      <c r="M16" s="27"/>
      <c r="N16" s="1">
        <v>25</v>
      </c>
      <c r="O16" s="27">
        <f t="shared" si="2"/>
        <v>92445.33</v>
      </c>
      <c r="P16" s="27">
        <f>65062.86+3974.76+2399.96+21007.75</f>
        <v>92445.33</v>
      </c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68</v>
      </c>
      <c r="I20" s="1">
        <v>53</v>
      </c>
      <c r="J20" s="26">
        <v>59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6</v>
      </c>
      <c r="J22" s="26">
        <v>6</v>
      </c>
      <c r="K22" s="27">
        <f t="shared" si="1"/>
        <v>9389.1</v>
      </c>
      <c r="L22" s="27">
        <v>9389.1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25386.880000000001</v>
      </c>
      <c r="P23" s="27">
        <f>6214.56+19172.32</f>
        <v>25386.880000000001</v>
      </c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31"/>
    </row>
    <row r="26" spans="1:18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>
        <f t="shared" si="1"/>
        <v>0</v>
      </c>
      <c r="L26" s="27"/>
      <c r="M26" s="27"/>
      <c r="N26" s="1"/>
      <c r="O26" s="27">
        <f t="shared" si="2"/>
        <v>0</v>
      </c>
      <c r="P26" s="27"/>
      <c r="Q26" s="27"/>
      <c r="R26" s="31"/>
    </row>
    <row r="27" spans="1:18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27</v>
      </c>
      <c r="I27" s="40">
        <v>11</v>
      </c>
      <c r="J27" s="43">
        <v>11</v>
      </c>
      <c r="K27" s="27">
        <f t="shared" si="1"/>
        <v>8411.92</v>
      </c>
      <c r="L27" s="39">
        <v>8411.92</v>
      </c>
      <c r="M27" s="39"/>
      <c r="N27" s="40"/>
      <c r="O27" s="27">
        <f t="shared" si="2"/>
        <v>0</v>
      </c>
      <c r="P27" s="39"/>
      <c r="Q27" s="39"/>
      <c r="R27" s="31"/>
    </row>
    <row r="28" spans="1:1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31"/>
    </row>
    <row r="29" spans="1:1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21</v>
      </c>
      <c r="I29" s="1">
        <v>15</v>
      </c>
      <c r="J29" s="44">
        <v>18</v>
      </c>
      <c r="K29" s="27">
        <f t="shared" si="1"/>
        <v>18888.64</v>
      </c>
      <c r="L29" s="27">
        <v>18888.64</v>
      </c>
      <c r="M29" s="27"/>
      <c r="N29" s="1">
        <v>6</v>
      </c>
      <c r="O29" s="27">
        <f t="shared" si="2"/>
        <v>21763.25</v>
      </c>
      <c r="P29" s="27">
        <f>12527.2+5552.77+3683.28</f>
        <v>21763.25</v>
      </c>
      <c r="Q29" s="27"/>
      <c r="R29" s="31"/>
    </row>
    <row r="30" spans="1:18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31"/>
    </row>
    <row r="31" spans="1:18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42</v>
      </c>
      <c r="I31" s="1">
        <v>21</v>
      </c>
      <c r="J31" s="26">
        <v>26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28</v>
      </c>
      <c r="O31" s="27">
        <f t="shared" si="2"/>
        <v>49711.5</v>
      </c>
      <c r="P31" s="27">
        <f>20737.96+17118.86+11854.68</f>
        <v>49711.5</v>
      </c>
      <c r="Q31" s="27"/>
      <c r="R31" s="31"/>
    </row>
    <row r="32" spans="1:18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31"/>
    </row>
    <row r="33" spans="1:18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15</v>
      </c>
      <c r="I33" s="2">
        <v>7</v>
      </c>
      <c r="J33" s="26">
        <v>7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31"/>
    </row>
    <row r="34" spans="1:18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30</v>
      </c>
      <c r="I34" s="1">
        <v>22</v>
      </c>
      <c r="J34" s="26">
        <v>35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31"/>
    </row>
    <row r="35" spans="1:18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31"/>
    </row>
    <row r="36" spans="1:1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31"/>
    </row>
    <row r="37" spans="1:18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3</v>
      </c>
      <c r="J37" s="26">
        <v>3</v>
      </c>
      <c r="K37" s="27">
        <f t="shared" si="1"/>
        <v>1817.3</v>
      </c>
      <c r="L37" s="27">
        <v>1817.3</v>
      </c>
      <c r="M37" s="27"/>
      <c r="N37" s="1">
        <v>8</v>
      </c>
      <c r="O37" s="27">
        <f t="shared" si="2"/>
        <v>19606.04</v>
      </c>
      <c r="P37" s="27">
        <v>19606.04</v>
      </c>
      <c r="Q37" s="27"/>
      <c r="R37" s="31"/>
    </row>
    <row r="38" spans="1:18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21</v>
      </c>
      <c r="I38" s="1">
        <v>12</v>
      </c>
      <c r="J38" s="26">
        <v>12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31"/>
    </row>
    <row r="39" spans="1:18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13</v>
      </c>
      <c r="J39" s="26">
        <v>13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31"/>
    </row>
    <row r="40" spans="1:1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30</v>
      </c>
      <c r="I40" s="1">
        <v>23</v>
      </c>
      <c r="J40" s="26">
        <v>28</v>
      </c>
      <c r="K40" s="27">
        <f t="shared" si="1"/>
        <v>17627.599999999999</v>
      </c>
      <c r="L40" s="27">
        <v>17627.599999999999</v>
      </c>
      <c r="M40" s="27"/>
      <c r="N40" s="1">
        <v>16</v>
      </c>
      <c r="O40" s="27">
        <f t="shared" si="2"/>
        <v>31911.79</v>
      </c>
      <c r="P40" s="27">
        <f>28541.43+3370.36</f>
        <v>31911.79</v>
      </c>
      <c r="Q40" s="27"/>
      <c r="R40" s="31"/>
    </row>
    <row r="41" spans="1:18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13</v>
      </c>
      <c r="J41" s="26">
        <v>13</v>
      </c>
      <c r="K41" s="27">
        <f t="shared" si="1"/>
        <v>8207.9</v>
      </c>
      <c r="L41" s="27">
        <v>8207.9</v>
      </c>
      <c r="M41" s="27"/>
      <c r="N41" s="2">
        <v>13</v>
      </c>
      <c r="O41" s="27">
        <f t="shared" si="2"/>
        <v>24514.3</v>
      </c>
      <c r="P41" s="27">
        <v>24514.3</v>
      </c>
      <c r="Q41" s="27"/>
      <c r="R41" s="31"/>
    </row>
    <row r="42" spans="1:1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22</v>
      </c>
      <c r="I42" s="1">
        <v>15</v>
      </c>
      <c r="J42" s="26">
        <v>15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31"/>
    </row>
    <row r="43" spans="1:18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25</v>
      </c>
      <c r="I43" s="1">
        <v>7</v>
      </c>
      <c r="J43" s="26">
        <v>7</v>
      </c>
      <c r="K43" s="27">
        <f t="shared" si="1"/>
        <v>2945.6</v>
      </c>
      <c r="L43" s="27">
        <v>2945.6</v>
      </c>
      <c r="M43" s="27"/>
      <c r="N43" s="1">
        <v>8</v>
      </c>
      <c r="O43" s="27">
        <f t="shared" si="2"/>
        <v>14414.29</v>
      </c>
      <c r="P43" s="27">
        <v>14414.29</v>
      </c>
      <c r="Q43" s="27"/>
      <c r="R43" s="31"/>
    </row>
    <row r="44" spans="1:18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35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31"/>
    </row>
    <row r="45" spans="1:18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31"/>
    </row>
    <row r="46" spans="1:1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31"/>
    </row>
    <row r="47" spans="1:18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0</v>
      </c>
      <c r="L47" s="27"/>
      <c r="M47" s="27"/>
      <c r="N47" s="1">
        <v>7</v>
      </c>
      <c r="O47" s="27">
        <f t="shared" si="2"/>
        <v>6431.3</v>
      </c>
      <c r="P47" s="27">
        <v>6431.3</v>
      </c>
      <c r="Q47" s="27"/>
      <c r="R47" s="31"/>
    </row>
    <row r="48" spans="1:1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27468.61</v>
      </c>
      <c r="P48" s="27">
        <f>22402.99+2762.46+2303.16</f>
        <v>27468.61</v>
      </c>
      <c r="Q48" s="27"/>
      <c r="R48" s="31"/>
    </row>
    <row r="49" spans="1:18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14</v>
      </c>
      <c r="I49" s="1">
        <v>3</v>
      </c>
      <c r="J49" s="26">
        <v>3</v>
      </c>
      <c r="K49" s="27">
        <f t="shared" si="1"/>
        <v>3534.72</v>
      </c>
      <c r="L49" s="27">
        <v>3534.72</v>
      </c>
      <c r="M49" s="27"/>
      <c r="N49" s="1">
        <v>10</v>
      </c>
      <c r="O49" s="27">
        <f t="shared" si="2"/>
        <v>20020.73</v>
      </c>
      <c r="P49" s="27">
        <v>20020.73</v>
      </c>
      <c r="Q49" s="27"/>
      <c r="R49" s="31"/>
    </row>
    <row r="50" spans="1:1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24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31"/>
    </row>
    <row r="51" spans="1:18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5</v>
      </c>
      <c r="J51" s="26">
        <v>5</v>
      </c>
      <c r="K51" s="27">
        <f>L51+M51</f>
        <v>13230.45</v>
      </c>
      <c r="L51" s="27">
        <v>13230.45</v>
      </c>
      <c r="M51" s="27"/>
      <c r="N51" s="1"/>
      <c r="O51" s="27">
        <f t="shared" si="2"/>
        <v>0</v>
      </c>
      <c r="P51" s="27"/>
      <c r="Q51" s="27"/>
      <c r="R51" s="31"/>
    </row>
    <row r="52" spans="1:1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31"/>
    </row>
    <row r="53" spans="1:18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31"/>
    </row>
    <row r="54" spans="1:1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31"/>
    </row>
    <row r="55" spans="1:18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39</v>
      </c>
      <c r="I55" s="1">
        <v>25</v>
      </c>
      <c r="J55" s="26">
        <v>25</v>
      </c>
      <c r="K55" s="27">
        <f t="shared" si="1"/>
        <v>3401.55</v>
      </c>
      <c r="L55" s="27">
        <v>3401.55</v>
      </c>
      <c r="M55" s="27"/>
      <c r="N55" s="1">
        <v>14</v>
      </c>
      <c r="O55" s="27">
        <f t="shared" si="2"/>
        <v>63564.07</v>
      </c>
      <c r="P55" s="27">
        <v>63564.07</v>
      </c>
      <c r="Q55" s="27"/>
      <c r="R55" s="31"/>
    </row>
    <row r="56" spans="1:18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11</v>
      </c>
      <c r="I56" s="2">
        <v>5</v>
      </c>
      <c r="J56" s="26">
        <v>5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31"/>
    </row>
    <row r="57" spans="1:18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2430.12</v>
      </c>
      <c r="L57" s="27">
        <v>2430.12</v>
      </c>
      <c r="M57" s="27"/>
      <c r="N57" s="2"/>
      <c r="O57" s="27">
        <f t="shared" si="2"/>
        <v>0</v>
      </c>
      <c r="P57" s="27"/>
      <c r="Q57" s="27"/>
      <c r="R57" s="31"/>
    </row>
    <row r="58" spans="1:18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36</v>
      </c>
      <c r="I58" s="2">
        <v>30</v>
      </c>
      <c r="J58" s="26">
        <v>30</v>
      </c>
      <c r="K58" s="27">
        <f>L58+M58</f>
        <v>18343.7</v>
      </c>
      <c r="L58" s="27">
        <v>18343.7</v>
      </c>
      <c r="M58" s="27"/>
      <c r="N58" s="2"/>
      <c r="O58" s="27">
        <f>P58+Q58</f>
        <v>0</v>
      </c>
      <c r="P58" s="28">
        <v>0</v>
      </c>
      <c r="Q58" s="27"/>
      <c r="R58" s="31"/>
    </row>
    <row r="59" spans="1:18" s="97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31"/>
    </row>
    <row r="60" spans="1:18" s="97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31"/>
    </row>
    <row r="61" spans="1:18" s="97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57</v>
      </c>
      <c r="I61" s="26">
        <v>38</v>
      </c>
      <c r="J61" s="26">
        <v>43</v>
      </c>
      <c r="K61" s="27">
        <f t="shared" si="1"/>
        <v>42496.17</v>
      </c>
      <c r="L61" s="83">
        <f>12981.51+2495.36+11292.41+15726.89</f>
        <v>42496.17</v>
      </c>
      <c r="M61" s="83"/>
      <c r="N61" s="26"/>
      <c r="O61" s="27">
        <f t="shared" si="2"/>
        <v>0</v>
      </c>
      <c r="P61" s="78"/>
      <c r="Q61" s="84"/>
      <c r="R61" s="31"/>
    </row>
    <row r="62" spans="1:18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32</v>
      </c>
      <c r="J62" s="26">
        <v>32</v>
      </c>
      <c r="K62" s="27">
        <f t="shared" si="1"/>
        <v>35313.24</v>
      </c>
      <c r="L62" s="27">
        <f>26838.02+8475.22</f>
        <v>35313.24</v>
      </c>
      <c r="M62" s="27"/>
      <c r="N62" s="1">
        <v>23</v>
      </c>
      <c r="O62" s="27">
        <f t="shared" si="2"/>
        <v>37262.6</v>
      </c>
      <c r="P62" s="27">
        <f>28261.6+9001</f>
        <v>37262.6</v>
      </c>
      <c r="Q62" s="27"/>
      <c r="R62" s="31"/>
    </row>
    <row r="63" spans="1:1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39</v>
      </c>
      <c r="I63" s="1">
        <v>29</v>
      </c>
      <c r="J63" s="26">
        <v>32</v>
      </c>
      <c r="K63" s="27">
        <f t="shared" si="1"/>
        <v>17177.3</v>
      </c>
      <c r="L63" s="27">
        <f>12863.92+4313.38</f>
        <v>17177.3</v>
      </c>
      <c r="M63" s="27"/>
      <c r="N63" s="1">
        <v>15</v>
      </c>
      <c r="O63" s="27">
        <f t="shared" si="2"/>
        <v>44600.24</v>
      </c>
      <c r="P63" s="27">
        <f>37111.35+7488.89</f>
        <v>44600.24</v>
      </c>
      <c r="Q63" s="27"/>
      <c r="R63" s="31"/>
    </row>
    <row r="64" spans="1:18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25</v>
      </c>
      <c r="I64" s="1">
        <v>7</v>
      </c>
      <c r="J64" s="26">
        <v>8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32954.9</v>
      </c>
      <c r="P64" s="27">
        <v>32954.9</v>
      </c>
      <c r="Q64" s="27"/>
      <c r="R64" s="31"/>
    </row>
    <row r="65" spans="1:18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31"/>
    </row>
    <row r="66" spans="1:18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31"/>
    </row>
    <row r="67" spans="1:18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31"/>
    </row>
    <row r="68" spans="1:18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16</v>
      </c>
      <c r="J68" s="26">
        <v>16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31"/>
    </row>
    <row r="69" spans="1:18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7</v>
      </c>
      <c r="O69" s="27">
        <f t="shared" si="2"/>
        <v>12270.55</v>
      </c>
      <c r="P69" s="27">
        <v>12270.55</v>
      </c>
      <c r="Q69" s="27"/>
      <c r="R69" s="31"/>
    </row>
    <row r="70" spans="1:1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37</v>
      </c>
      <c r="I70" s="1">
        <v>19</v>
      </c>
      <c r="J70" s="26">
        <v>23</v>
      </c>
      <c r="K70" s="27">
        <f t="shared" si="1"/>
        <v>7602.67</v>
      </c>
      <c r="L70" s="27">
        <v>7602.67</v>
      </c>
      <c r="M70" s="27"/>
      <c r="N70" s="1">
        <v>13</v>
      </c>
      <c r="O70" s="27">
        <f t="shared" si="2"/>
        <v>8807.2000000000007</v>
      </c>
      <c r="P70" s="27">
        <f>6874.29+1932.91</f>
        <v>8807.2000000000007</v>
      </c>
      <c r="Q70" s="27"/>
      <c r="R70" s="31"/>
    </row>
    <row r="71" spans="1:18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31"/>
    </row>
    <row r="72" spans="1:1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37</v>
      </c>
      <c r="I72" s="2">
        <v>28</v>
      </c>
      <c r="J72" s="26">
        <v>28</v>
      </c>
      <c r="K72" s="27">
        <f t="shared" si="1"/>
        <v>4250.83</v>
      </c>
      <c r="L72" s="27">
        <f>3127.55+1123.28</f>
        <v>4250.83</v>
      </c>
      <c r="M72" s="27"/>
      <c r="N72" s="2"/>
      <c r="O72" s="27">
        <f t="shared" si="2"/>
        <v>0</v>
      </c>
      <c r="P72" s="27"/>
      <c r="Q72" s="27"/>
      <c r="R72" s="31"/>
    </row>
    <row r="73" spans="1:18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63</v>
      </c>
      <c r="I73" s="1">
        <v>37</v>
      </c>
      <c r="J73" s="26">
        <v>38</v>
      </c>
      <c r="K73" s="27">
        <f t="shared" si="1"/>
        <v>25040.720000000001</v>
      </c>
      <c r="L73" s="27">
        <v>25040.720000000001</v>
      </c>
      <c r="M73" s="27"/>
      <c r="N73" s="1">
        <v>25</v>
      </c>
      <c r="O73" s="27">
        <f t="shared" si="2"/>
        <v>154407.06</v>
      </c>
      <c r="P73" s="27">
        <f>109028.82+3123.6+2556.43+39698.21</f>
        <v>154407.06</v>
      </c>
      <c r="Q73" s="27"/>
      <c r="R73" s="31"/>
    </row>
    <row r="74" spans="1:18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31"/>
    </row>
    <row r="75" spans="1:1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51</v>
      </c>
      <c r="I75" s="1">
        <v>38</v>
      </c>
      <c r="J75" s="26">
        <v>39</v>
      </c>
      <c r="K75" s="27">
        <f t="shared" si="1"/>
        <v>26694.03</v>
      </c>
      <c r="L75" s="27">
        <v>26694.03</v>
      </c>
      <c r="M75" s="27"/>
      <c r="N75" s="1">
        <v>13</v>
      </c>
      <c r="O75" s="27">
        <f t="shared" si="2"/>
        <v>40094.129999999997</v>
      </c>
      <c r="P75" s="27">
        <v>40094.129999999997</v>
      </c>
      <c r="Q75" s="27"/>
      <c r="R75" s="31"/>
    </row>
    <row r="76" spans="1:18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31"/>
    </row>
    <row r="77" spans="1:18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21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11</v>
      </c>
      <c r="O77" s="27">
        <f t="shared" si="4"/>
        <v>47402.14</v>
      </c>
      <c r="P77" s="27">
        <v>47402.14</v>
      </c>
      <c r="Q77" s="27"/>
      <c r="R77" s="31"/>
    </row>
    <row r="78" spans="1:18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4</v>
      </c>
      <c r="J78" s="26">
        <v>5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31"/>
    </row>
    <row r="79" spans="1:1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26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21</v>
      </c>
      <c r="O79" s="27">
        <f t="shared" si="4"/>
        <v>67887.14</v>
      </c>
      <c r="P79" s="27">
        <v>67887.14</v>
      </c>
      <c r="Q79" s="27"/>
      <c r="R79" s="31"/>
    </row>
    <row r="80" spans="1:18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28</v>
      </c>
      <c r="I80" s="2">
        <v>9</v>
      </c>
      <c r="J80" s="26">
        <v>9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65187.360000000001</v>
      </c>
      <c r="P80" s="27">
        <v>65187.360000000001</v>
      </c>
      <c r="Q80" s="27"/>
      <c r="R80" s="31"/>
    </row>
    <row r="81" spans="1:18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7</v>
      </c>
      <c r="O81" s="27">
        <f t="shared" si="4"/>
        <v>18324.8</v>
      </c>
      <c r="P81" s="27">
        <f>10043.4+8281.4</f>
        <v>18324.8</v>
      </c>
      <c r="Q81" s="27"/>
      <c r="R81" s="31"/>
    </row>
    <row r="82" spans="1:18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4</v>
      </c>
      <c r="J82" s="26">
        <v>4</v>
      </c>
      <c r="K82" s="27">
        <f t="shared" si="3"/>
        <v>4234.3</v>
      </c>
      <c r="L82" s="27">
        <v>4234.3</v>
      </c>
      <c r="M82" s="27"/>
      <c r="N82" s="1">
        <v>15</v>
      </c>
      <c r="O82" s="27">
        <f t="shared" si="4"/>
        <v>16741.75</v>
      </c>
      <c r="P82" s="27">
        <v>16741.75</v>
      </c>
      <c r="Q82" s="27"/>
      <c r="R82" s="31"/>
    </row>
    <row r="83" spans="1:1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20</v>
      </c>
      <c r="J83" s="26">
        <v>22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31"/>
    </row>
    <row r="84" spans="1:18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31"/>
    </row>
    <row r="85" spans="1:18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107</v>
      </c>
      <c r="I85" s="1">
        <v>68</v>
      </c>
      <c r="J85" s="26">
        <v>68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31"/>
    </row>
    <row r="86" spans="1:18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4</v>
      </c>
      <c r="J86" s="43">
        <v>4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31"/>
    </row>
    <row r="87" spans="1:18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31"/>
    </row>
    <row r="88" spans="1:18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31"/>
    </row>
    <row r="89" spans="1:18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54</v>
      </c>
      <c r="I89" s="1">
        <v>51</v>
      </c>
      <c r="J89" s="26">
        <v>53</v>
      </c>
      <c r="K89" s="27">
        <f t="shared" si="3"/>
        <v>40111.32</v>
      </c>
      <c r="L89" s="27">
        <f>34327.04+5784.28</f>
        <v>40111.32</v>
      </c>
      <c r="M89" s="27"/>
      <c r="N89" s="1">
        <v>22</v>
      </c>
      <c r="O89" s="27">
        <f t="shared" si="4"/>
        <v>40138.19</v>
      </c>
      <c r="P89" s="27">
        <f>28719.49+11418.7</f>
        <v>40138.19</v>
      </c>
      <c r="Q89" s="27"/>
      <c r="R89" s="31"/>
    </row>
    <row r="90" spans="1:18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31"/>
    </row>
    <row r="91" spans="1:1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31"/>
    </row>
    <row r="92" spans="1:18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31"/>
    </row>
    <row r="93" spans="1:18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31"/>
    </row>
    <row r="94" spans="1:1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22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9</v>
      </c>
      <c r="O94" s="27">
        <f t="shared" si="4"/>
        <v>10757.419999999998</v>
      </c>
      <c r="P94" s="27">
        <f>4981.94+158.58+5616.9</f>
        <v>10757.419999999998</v>
      </c>
      <c r="Q94" s="27"/>
      <c r="R94" s="31"/>
    </row>
    <row r="95" spans="1:18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8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31"/>
    </row>
    <row r="96" spans="1:18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31"/>
    </row>
    <row r="97" spans="1:18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31"/>
    </row>
    <row r="98" spans="1:18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17</v>
      </c>
      <c r="I98" s="1">
        <v>13</v>
      </c>
      <c r="J98" s="26">
        <v>15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31"/>
    </row>
    <row r="99" spans="1:1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31"/>
    </row>
    <row r="100" spans="1:18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31"/>
    </row>
    <row r="102" spans="1:18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31"/>
    </row>
    <row r="103" spans="1:1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5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31"/>
    </row>
    <row r="104" spans="1:18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27</v>
      </c>
      <c r="J104" s="26">
        <v>28</v>
      </c>
      <c r="K104" s="27">
        <f t="shared" si="3"/>
        <v>11380.77</v>
      </c>
      <c r="L104" s="27">
        <v>11380.77</v>
      </c>
      <c r="M104" s="27"/>
      <c r="N104" s="1">
        <v>12</v>
      </c>
      <c r="O104" s="27">
        <f t="shared" si="4"/>
        <v>45390.47</v>
      </c>
      <c r="P104" s="27">
        <v>45390.47</v>
      </c>
      <c r="Q104" s="27"/>
      <c r="R104" s="31"/>
    </row>
    <row r="105" spans="1:18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28</v>
      </c>
      <c r="I105" s="1">
        <v>25</v>
      </c>
      <c r="J105" s="26">
        <v>26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31"/>
    </row>
    <row r="106" spans="1:18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8</v>
      </c>
      <c r="J106" s="26">
        <v>8</v>
      </c>
      <c r="K106" s="27">
        <f t="shared" si="3"/>
        <v>1057.2</v>
      </c>
      <c r="L106" s="27">
        <v>1057.2</v>
      </c>
      <c r="M106" s="27"/>
      <c r="N106" s="1"/>
      <c r="O106" s="27">
        <f t="shared" si="4"/>
        <v>0</v>
      </c>
      <c r="Q106" s="27"/>
      <c r="R106" s="31"/>
    </row>
    <row r="107" spans="1:18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33</v>
      </c>
      <c r="I107" s="1">
        <v>17</v>
      </c>
      <c r="J107" s="26">
        <v>18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31"/>
    </row>
    <row r="108" spans="1:1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22</v>
      </c>
      <c r="J108" s="26">
        <v>29</v>
      </c>
      <c r="K108" s="27">
        <f t="shared" si="3"/>
        <v>12885.23</v>
      </c>
      <c r="L108" s="27">
        <f>10653.08+2232.15</f>
        <v>12885.23</v>
      </c>
      <c r="M108" s="27"/>
      <c r="N108" s="1">
        <v>27</v>
      </c>
      <c r="O108" s="27">
        <f t="shared" si="4"/>
        <v>109354.01</v>
      </c>
      <c r="P108" s="27">
        <f>98217.49+1416.65+9719.87</f>
        <v>109354.01</v>
      </c>
      <c r="Q108" s="27"/>
      <c r="R108" s="31"/>
    </row>
    <row r="109" spans="1:18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18</v>
      </c>
      <c r="J109" s="26">
        <v>18</v>
      </c>
      <c r="K109" s="27">
        <f t="shared" si="3"/>
        <v>7548.1</v>
      </c>
      <c r="L109" s="27">
        <v>7548.1</v>
      </c>
      <c r="M109" s="27"/>
      <c r="N109" s="1">
        <v>23</v>
      </c>
      <c r="O109" s="27">
        <f t="shared" si="4"/>
        <v>28762</v>
      </c>
      <c r="P109" s="27">
        <v>28762</v>
      </c>
      <c r="Q109" s="27"/>
      <c r="R109" s="31"/>
    </row>
    <row r="110" spans="1:18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52</v>
      </c>
      <c r="I110" s="2">
        <v>27</v>
      </c>
      <c r="J110" s="26">
        <v>27</v>
      </c>
      <c r="K110" s="27">
        <f t="shared" si="3"/>
        <v>10153.620000000001</v>
      </c>
      <c r="L110" s="27">
        <v>10153.620000000001</v>
      </c>
      <c r="M110" s="27"/>
      <c r="N110" s="2">
        <v>34</v>
      </c>
      <c r="O110" s="27">
        <f t="shared" si="4"/>
        <v>87197.48</v>
      </c>
      <c r="P110" s="35">
        <v>87197.48</v>
      </c>
      <c r="Q110" s="27"/>
      <c r="R110" s="31"/>
    </row>
    <row r="111" spans="1:18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31"/>
    </row>
    <row r="112" spans="1:18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5580.3</v>
      </c>
      <c r="P112" s="27">
        <v>5580.3</v>
      </c>
      <c r="Q112" s="27"/>
      <c r="R112" s="31"/>
    </row>
    <row r="113" spans="1:18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11863.8</v>
      </c>
      <c r="L113" s="27">
        <v>11863.8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31"/>
    </row>
    <row r="114" spans="1:1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48</v>
      </c>
      <c r="I114" s="2">
        <v>34</v>
      </c>
      <c r="J114" s="26">
        <v>40</v>
      </c>
      <c r="K114" s="27">
        <f t="shared" si="3"/>
        <v>13699.780000000002</v>
      </c>
      <c r="L114" s="27">
        <f>4342.45+4538.27+4819.06</f>
        <v>13699.780000000002</v>
      </c>
      <c r="M114" s="27"/>
      <c r="N114" s="2"/>
      <c r="O114" s="27">
        <f t="shared" si="4"/>
        <v>0</v>
      </c>
      <c r="P114" s="27"/>
      <c r="Q114" s="27"/>
      <c r="R114" s="31"/>
    </row>
    <row r="115" spans="1:18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25</v>
      </c>
      <c r="I115" s="2">
        <v>10</v>
      </c>
      <c r="J115" s="26">
        <v>10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31"/>
    </row>
    <row r="116" spans="1:18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23</v>
      </c>
      <c r="I116" s="2">
        <v>10</v>
      </c>
      <c r="J116" s="26">
        <v>10</v>
      </c>
      <c r="K116" s="27">
        <f t="shared" si="3"/>
        <v>21586.5</v>
      </c>
      <c r="L116" s="27">
        <v>21586.5</v>
      </c>
      <c r="M116" s="27"/>
      <c r="N116" s="2"/>
      <c r="O116" s="27">
        <f t="shared" si="4"/>
        <v>0</v>
      </c>
      <c r="P116" s="27"/>
      <c r="Q116" s="27"/>
      <c r="R116" s="31"/>
    </row>
    <row r="117" spans="1:1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41</v>
      </c>
      <c r="I117" s="1">
        <v>36</v>
      </c>
      <c r="J117" s="26">
        <v>40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31"/>
    </row>
    <row r="118" spans="1:18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18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31"/>
    </row>
    <row r="120" spans="1:1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31"/>
    </row>
    <row r="121" spans="1:1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39</v>
      </c>
      <c r="I121" s="1">
        <v>26</v>
      </c>
      <c r="J121" s="26">
        <v>31</v>
      </c>
      <c r="K121" s="27">
        <f t="shared" si="3"/>
        <v>26469</v>
      </c>
      <c r="L121" s="27">
        <f>23252.01+1197.18+2019.81</f>
        <v>26469</v>
      </c>
      <c r="M121" s="27"/>
      <c r="N121" s="1">
        <v>16</v>
      </c>
      <c r="O121" s="27">
        <f t="shared" si="4"/>
        <v>41732.35</v>
      </c>
      <c r="P121" s="27">
        <f>40384.42+1347.93</f>
        <v>41732.35</v>
      </c>
      <c r="Q121" s="27"/>
      <c r="R121" s="31"/>
    </row>
    <row r="122" spans="1:18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31"/>
    </row>
    <row r="123" spans="1:18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40</v>
      </c>
      <c r="I123" s="1">
        <v>23</v>
      </c>
      <c r="J123" s="26">
        <v>24</v>
      </c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31"/>
    </row>
    <row r="124" spans="1:18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31"/>
    </row>
    <row r="125" spans="1:18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35</v>
      </c>
      <c r="I125" s="1">
        <v>15</v>
      </c>
      <c r="J125" s="26">
        <v>15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31"/>
    </row>
    <row r="126" spans="1:18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31"/>
    </row>
    <row r="127" spans="1:1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25</v>
      </c>
      <c r="I127" s="1">
        <v>11</v>
      </c>
      <c r="J127" s="26">
        <v>11</v>
      </c>
      <c r="K127" s="27">
        <f t="shared" si="3"/>
        <v>1899.08</v>
      </c>
      <c r="L127" s="27">
        <v>1899.08</v>
      </c>
      <c r="M127" s="27"/>
      <c r="N127" s="1">
        <v>6</v>
      </c>
      <c r="O127" s="27">
        <f t="shared" si="4"/>
        <v>23638.28</v>
      </c>
      <c r="P127" s="27">
        <v>23638.28</v>
      </c>
      <c r="Q127" s="27"/>
      <c r="R127" s="31"/>
    </row>
    <row r="128" spans="1:18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8</v>
      </c>
      <c r="I128" s="1">
        <v>1</v>
      </c>
      <c r="J128" s="26">
        <v>1</v>
      </c>
      <c r="K128" s="27">
        <f t="shared" si="3"/>
        <v>2393.3000000000002</v>
      </c>
      <c r="L128" s="27">
        <v>2393.3000000000002</v>
      </c>
      <c r="M128" s="27"/>
      <c r="N128" s="1">
        <v>1</v>
      </c>
      <c r="O128" s="27">
        <f t="shared" si="4"/>
        <v>1850.1</v>
      </c>
      <c r="P128" s="27">
        <v>1850.1</v>
      </c>
      <c r="Q128" s="27"/>
      <c r="R128" s="31"/>
    </row>
    <row r="129" spans="1:18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36</v>
      </c>
      <c r="I129" s="1">
        <v>31</v>
      </c>
      <c r="J129" s="26">
        <v>32</v>
      </c>
      <c r="K129" s="27">
        <f t="shared" si="3"/>
        <v>14700.02</v>
      </c>
      <c r="L129" s="27">
        <v>14700.02</v>
      </c>
      <c r="M129" s="27"/>
      <c r="N129" s="1">
        <v>12</v>
      </c>
      <c r="O129" s="27">
        <f t="shared" si="4"/>
        <v>57464.03</v>
      </c>
      <c r="P129" s="27">
        <v>57464.03</v>
      </c>
      <c r="Q129" s="27"/>
      <c r="R129" s="31"/>
    </row>
    <row r="130" spans="1:18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528.6</v>
      </c>
      <c r="P130" s="27">
        <v>528.6</v>
      </c>
      <c r="Q130" s="27"/>
      <c r="R130" s="31"/>
    </row>
    <row r="131" spans="1:1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72</v>
      </c>
      <c r="I131" s="1">
        <v>67</v>
      </c>
      <c r="J131" s="26">
        <v>69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16</v>
      </c>
      <c r="O131" s="27">
        <f t="shared" si="4"/>
        <v>29718.65</v>
      </c>
      <c r="P131" s="27">
        <f>28101.13+1617.52</f>
        <v>29718.65</v>
      </c>
      <c r="Q131" s="27"/>
      <c r="R131" s="31"/>
    </row>
    <row r="132" spans="1:18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31"/>
    </row>
    <row r="133" spans="1:18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28</v>
      </c>
      <c r="I133" s="1">
        <v>23</v>
      </c>
      <c r="J133" s="26">
        <v>26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31"/>
    </row>
    <row r="134" spans="1:18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31"/>
    </row>
    <row r="135" spans="1:1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37</v>
      </c>
      <c r="I135" s="1">
        <v>30</v>
      </c>
      <c r="J135" s="26">
        <v>37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31"/>
    </row>
    <row r="136" spans="1:18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23</v>
      </c>
      <c r="J136" s="26">
        <v>23</v>
      </c>
      <c r="K136" s="27">
        <f t="shared" si="3"/>
        <v>2466.8000000000002</v>
      </c>
      <c r="L136" s="27">
        <v>2466.8000000000002</v>
      </c>
      <c r="M136" s="27"/>
      <c r="N136" s="1">
        <v>23</v>
      </c>
      <c r="O136" s="27">
        <f t="shared" si="4"/>
        <v>5330.06</v>
      </c>
      <c r="P136" s="27">
        <v>5330.06</v>
      </c>
      <c r="Q136" s="27"/>
      <c r="R136" s="31"/>
    </row>
    <row r="137" spans="1:1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40</v>
      </c>
      <c r="I137" s="1">
        <v>31</v>
      </c>
      <c r="J137" s="26">
        <v>40</v>
      </c>
      <c r="K137" s="27">
        <f t="shared" si="3"/>
        <v>17808.48</v>
      </c>
      <c r="L137" s="27">
        <v>17808.48</v>
      </c>
      <c r="M137" s="27"/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31"/>
    </row>
    <row r="138" spans="1:18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5</v>
      </c>
      <c r="J138" s="26">
        <v>5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31"/>
    </row>
    <row r="139" spans="1:1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4</v>
      </c>
      <c r="O139" s="27">
        <f t="shared" si="4"/>
        <v>2730.25</v>
      </c>
      <c r="P139" s="27">
        <f>1564.44+1165.81</f>
        <v>2730.25</v>
      </c>
      <c r="Q139" s="27"/>
      <c r="R139" s="31"/>
    </row>
    <row r="140" spans="1:18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42</v>
      </c>
      <c r="I140" s="1">
        <v>16</v>
      </c>
      <c r="J140" s="44">
        <v>16</v>
      </c>
      <c r="K140" s="27">
        <f t="shared" ref="K140:K204" si="5">L140+M140</f>
        <v>17139.5</v>
      </c>
      <c r="L140" s="27">
        <v>17139.5</v>
      </c>
      <c r="M140" s="27"/>
      <c r="N140" s="1">
        <v>10</v>
      </c>
      <c r="O140" s="27">
        <f t="shared" ref="O140:O203" si="6">P140+Q140</f>
        <v>12650.58</v>
      </c>
      <c r="P140" s="27">
        <v>12650.58</v>
      </c>
      <c r="Q140" s="27"/>
      <c r="R140" s="31"/>
    </row>
    <row r="141" spans="1:1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29</v>
      </c>
      <c r="I141" s="1">
        <v>21</v>
      </c>
      <c r="J141" s="26">
        <v>21</v>
      </c>
      <c r="K141" s="27">
        <f t="shared" si="5"/>
        <v>17283.18</v>
      </c>
      <c r="L141" s="27">
        <f>8817.93+8465.25</f>
        <v>17283.18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31"/>
    </row>
    <row r="142" spans="1:18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21</v>
      </c>
      <c r="I142" s="1">
        <v>6</v>
      </c>
      <c r="J142" s="26">
        <v>6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31"/>
    </row>
    <row r="143" spans="1:1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18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31"/>
    </row>
    <row r="144" spans="1:18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35</v>
      </c>
      <c r="I144" s="1">
        <v>29</v>
      </c>
      <c r="J144" s="26">
        <v>47</v>
      </c>
      <c r="K144" s="27">
        <f t="shared" si="5"/>
        <v>872.19</v>
      </c>
      <c r="L144" s="27">
        <v>872.19</v>
      </c>
      <c r="M144" s="27"/>
      <c r="N144" s="1">
        <v>26</v>
      </c>
      <c r="O144" s="27">
        <f t="shared" si="6"/>
        <v>39982.019999999997</v>
      </c>
      <c r="P144" s="27">
        <f>35132.88+3580.5+1268.64</f>
        <v>39982.019999999997</v>
      </c>
      <c r="Q144" s="27"/>
      <c r="R144" s="31"/>
    </row>
    <row r="145" spans="1:18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2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31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31"/>
    </row>
    <row r="147" spans="1:18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31"/>
    </row>
    <row r="148" spans="1:18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16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31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16</v>
      </c>
      <c r="J149" s="26">
        <v>18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31"/>
    </row>
    <row r="150" spans="1:18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31"/>
    </row>
    <row r="151" spans="1:18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7</v>
      </c>
      <c r="J151" s="26">
        <v>9</v>
      </c>
      <c r="K151" s="27">
        <f t="shared" si="5"/>
        <v>17248.91</v>
      </c>
      <c r="L151" s="27">
        <v>17248.91</v>
      </c>
      <c r="M151" s="27"/>
      <c r="N151" s="1">
        <v>6</v>
      </c>
      <c r="O151" s="27">
        <f t="shared" si="6"/>
        <v>14521.29</v>
      </c>
      <c r="P151" s="27">
        <v>14521.29</v>
      </c>
      <c r="Q151" s="27"/>
      <c r="R151" s="31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52</v>
      </c>
      <c r="I152" s="1">
        <v>37</v>
      </c>
      <c r="J152" s="26">
        <v>58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31"/>
    </row>
    <row r="153" spans="1:18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19</v>
      </c>
      <c r="I153" s="1">
        <v>6</v>
      </c>
      <c r="J153" s="26">
        <v>6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31"/>
    </row>
    <row r="154" spans="1:18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31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16</v>
      </c>
      <c r="I155" s="1">
        <v>8</v>
      </c>
      <c r="J155" s="26">
        <v>8</v>
      </c>
      <c r="K155" s="27">
        <f t="shared" si="5"/>
        <v>10994.88</v>
      </c>
      <c r="L155" s="27">
        <v>10994.88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31"/>
    </row>
    <row r="156" spans="1:18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31"/>
    </row>
    <row r="157" spans="1:18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9</v>
      </c>
      <c r="J157" s="26">
        <v>9</v>
      </c>
      <c r="K157" s="27">
        <f t="shared" si="5"/>
        <v>6390.6</v>
      </c>
      <c r="L157" s="27">
        <v>6390.6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31"/>
    </row>
    <row r="158" spans="1:18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16</v>
      </c>
      <c r="I158" s="1">
        <v>8</v>
      </c>
      <c r="J158" s="26">
        <v>8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31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31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33</v>
      </c>
      <c r="I160" s="1">
        <v>31</v>
      </c>
      <c r="J160" s="26">
        <v>33</v>
      </c>
      <c r="K160" s="27">
        <f t="shared" si="5"/>
        <v>26981.67</v>
      </c>
      <c r="L160" s="27">
        <v>26981.67</v>
      </c>
      <c r="M160" s="27"/>
      <c r="N160" s="1">
        <v>10</v>
      </c>
      <c r="O160" s="27">
        <f t="shared" si="6"/>
        <v>35974.990000000005</v>
      </c>
      <c r="P160" s="27">
        <f>35129.23+845.76</f>
        <v>35974.990000000005</v>
      </c>
      <c r="Q160" s="27"/>
      <c r="R160" s="31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31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31"/>
    </row>
    <row r="163" spans="1:18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31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31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31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31"/>
    </row>
    <row r="167" spans="1:18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31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27</v>
      </c>
      <c r="I168" s="40">
        <v>17</v>
      </c>
      <c r="J168" s="43">
        <v>19</v>
      </c>
      <c r="K168" s="27">
        <f t="shared" si="5"/>
        <v>7478.22</v>
      </c>
      <c r="L168" s="39">
        <v>7478.22</v>
      </c>
      <c r="M168" s="39"/>
      <c r="N168" s="40"/>
      <c r="O168" s="27">
        <f t="shared" si="6"/>
        <v>0</v>
      </c>
      <c r="P168" s="39"/>
      <c r="Q168" s="39"/>
      <c r="R168" s="31"/>
    </row>
    <row r="169" spans="1:18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33</v>
      </c>
      <c r="I169" s="1">
        <v>11</v>
      </c>
      <c r="J169" s="26">
        <v>11</v>
      </c>
      <c r="K169" s="27">
        <f t="shared" si="5"/>
        <v>16431.22</v>
      </c>
      <c r="L169" s="27">
        <v>16431.22</v>
      </c>
      <c r="M169" s="27"/>
      <c r="N169" s="1"/>
      <c r="O169" s="27">
        <f t="shared" si="6"/>
        <v>0</v>
      </c>
      <c r="P169" s="27"/>
      <c r="Q169" s="27"/>
      <c r="R169" s="31"/>
    </row>
    <row r="170" spans="1:18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4531.3999999999996</v>
      </c>
      <c r="L170" s="27">
        <v>4531.3999999999996</v>
      </c>
      <c r="M170" s="27"/>
      <c r="N170" s="1"/>
      <c r="O170" s="27">
        <f t="shared" si="6"/>
        <v>0</v>
      </c>
      <c r="P170" s="27"/>
      <c r="Q170" s="27"/>
      <c r="R170" s="31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9</v>
      </c>
      <c r="I171" s="1">
        <v>3</v>
      </c>
      <c r="J171" s="26">
        <v>3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31"/>
    </row>
    <row r="172" spans="1:18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31"/>
    </row>
    <row r="173" spans="1:18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29</v>
      </c>
      <c r="I173" s="1">
        <v>13</v>
      </c>
      <c r="J173" s="26">
        <v>13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31"/>
    </row>
    <row r="174" spans="1:18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12</v>
      </c>
      <c r="J174" s="26">
        <v>12</v>
      </c>
      <c r="K174" s="27">
        <f t="shared" si="5"/>
        <v>23091.34</v>
      </c>
      <c r="L174" s="27">
        <v>23091.34</v>
      </c>
      <c r="M174" s="27"/>
      <c r="N174" s="1"/>
      <c r="O174" s="27">
        <f t="shared" si="6"/>
        <v>0</v>
      </c>
      <c r="P174" s="27"/>
      <c r="Q174" s="27"/>
      <c r="R174" s="31"/>
    </row>
    <row r="175" spans="1:18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6</v>
      </c>
      <c r="J175" s="26">
        <v>7</v>
      </c>
      <c r="K175" s="27">
        <f t="shared" si="5"/>
        <v>11845.25</v>
      </c>
      <c r="L175" s="27">
        <v>11845.25</v>
      </c>
      <c r="M175" s="27"/>
      <c r="N175" s="1"/>
      <c r="O175" s="27">
        <f t="shared" si="6"/>
        <v>0</v>
      </c>
      <c r="P175" s="27"/>
      <c r="Q175" s="27"/>
      <c r="R175" s="31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31"/>
    </row>
    <row r="177" spans="1:1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15</v>
      </c>
      <c r="J177" s="26">
        <v>23</v>
      </c>
      <c r="K177" s="27">
        <f t="shared" si="5"/>
        <v>0</v>
      </c>
      <c r="L177" s="27"/>
      <c r="M177" s="27"/>
      <c r="N177" s="1"/>
      <c r="O177" s="27">
        <f t="shared" si="6"/>
        <v>0</v>
      </c>
      <c r="P177" s="27"/>
      <c r="Q177" s="27"/>
      <c r="R177" s="31"/>
    </row>
    <row r="178" spans="1:18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31"/>
    </row>
    <row r="179" spans="1:18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31"/>
    </row>
    <row r="180" spans="1:18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10</v>
      </c>
      <c r="O180" s="27">
        <f t="shared" si="6"/>
        <v>9570.130000000001</v>
      </c>
      <c r="P180" s="27">
        <f>1221.57+1977.23+6371.33</f>
        <v>9570.130000000001</v>
      </c>
      <c r="Q180" s="27"/>
      <c r="R180" s="31"/>
    </row>
    <row r="181" spans="1:18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15</v>
      </c>
      <c r="J181" s="26">
        <v>15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31"/>
    </row>
    <row r="182" spans="1:1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51</v>
      </c>
      <c r="J182" s="26">
        <v>52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31"/>
    </row>
    <row r="183" spans="1:18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13</v>
      </c>
      <c r="J183" s="26">
        <v>13</v>
      </c>
      <c r="K183" s="27">
        <f t="shared" si="5"/>
        <v>10125.5</v>
      </c>
      <c r="L183" s="27">
        <v>10125.5</v>
      </c>
      <c r="M183" s="27"/>
      <c r="N183" s="1">
        <v>8</v>
      </c>
      <c r="O183" s="27">
        <f t="shared" si="6"/>
        <v>14216.32</v>
      </c>
      <c r="P183" s="27">
        <v>14216.32</v>
      </c>
      <c r="Q183" s="27"/>
      <c r="R183" s="31"/>
    </row>
    <row r="184" spans="1:18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64</v>
      </c>
      <c r="I184" s="1">
        <v>46</v>
      </c>
      <c r="J184" s="26">
        <v>48</v>
      </c>
      <c r="K184" s="27">
        <f t="shared" si="5"/>
        <v>0</v>
      </c>
      <c r="L184" s="27"/>
      <c r="M184" s="27"/>
      <c r="N184" s="1">
        <v>4</v>
      </c>
      <c r="O184" s="27">
        <f t="shared" si="6"/>
        <v>16604.21</v>
      </c>
      <c r="P184" s="27">
        <f>14026.97+2577.24</f>
        <v>16604.21</v>
      </c>
      <c r="Q184" s="27"/>
      <c r="R184" s="31"/>
    </row>
    <row r="185" spans="1:1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78</v>
      </c>
      <c r="I185" s="1">
        <v>70</v>
      </c>
      <c r="J185" s="26">
        <v>70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31"/>
    </row>
    <row r="186" spans="1:18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42</v>
      </c>
      <c r="I186" s="1">
        <v>15</v>
      </c>
      <c r="J186" s="44">
        <v>15</v>
      </c>
      <c r="K186" s="27">
        <f t="shared" si="5"/>
        <v>32347.32</v>
      </c>
      <c r="L186" s="27">
        <v>32347.32</v>
      </c>
      <c r="M186" s="27"/>
      <c r="N186" s="1">
        <v>21</v>
      </c>
      <c r="O186" s="27">
        <f t="shared" si="6"/>
        <v>48701.81</v>
      </c>
      <c r="P186" s="27">
        <v>48701.81</v>
      </c>
      <c r="Q186" s="27"/>
      <c r="R186" s="31"/>
    </row>
    <row r="187" spans="1:1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11</v>
      </c>
      <c r="I187" s="1">
        <v>7</v>
      </c>
      <c r="J187" s="26">
        <v>8</v>
      </c>
      <c r="K187" s="27">
        <f t="shared" si="5"/>
        <v>0</v>
      </c>
      <c r="L187" s="27"/>
      <c r="M187" s="27"/>
      <c r="N187" s="1">
        <v>11</v>
      </c>
      <c r="O187" s="27">
        <f t="shared" si="6"/>
        <v>27541.74</v>
      </c>
      <c r="P187" s="27">
        <v>27541.74</v>
      </c>
      <c r="Q187" s="27"/>
      <c r="R187" s="31"/>
    </row>
    <row r="188" spans="1:18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9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3</v>
      </c>
      <c r="O188" s="27">
        <f t="shared" si="6"/>
        <v>1991.2</v>
      </c>
      <c r="P188" s="27">
        <v>1991.2</v>
      </c>
      <c r="Q188" s="27"/>
      <c r="R188" s="31"/>
    </row>
    <row r="189" spans="1:18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24</v>
      </c>
      <c r="I189" s="38">
        <v>10</v>
      </c>
      <c r="J189" s="43">
        <v>10</v>
      </c>
      <c r="K189" s="27">
        <f t="shared" si="5"/>
        <v>5707.1</v>
      </c>
      <c r="L189" s="39">
        <v>5707.1</v>
      </c>
      <c r="M189" s="39"/>
      <c r="N189" s="38"/>
      <c r="O189" s="27">
        <f t="shared" si="6"/>
        <v>0</v>
      </c>
      <c r="P189" s="39"/>
      <c r="Q189" s="39"/>
      <c r="R189" s="31"/>
    </row>
    <row r="190" spans="1:1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31"/>
    </row>
    <row r="191" spans="1:18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15</v>
      </c>
      <c r="J191" s="26">
        <v>16</v>
      </c>
      <c r="K191" s="27">
        <f t="shared" si="5"/>
        <v>39740.46</v>
      </c>
      <c r="L191" s="27">
        <v>39740.46</v>
      </c>
      <c r="M191" s="27"/>
      <c r="N191" s="1">
        <v>21</v>
      </c>
      <c r="O191" s="27">
        <f t="shared" si="6"/>
        <v>95961.86</v>
      </c>
      <c r="P191" s="27">
        <v>95961.86</v>
      </c>
      <c r="Q191" s="27"/>
      <c r="R191" s="31"/>
    </row>
    <row r="192" spans="1:1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12</v>
      </c>
      <c r="I192" s="1">
        <v>7</v>
      </c>
      <c r="J192" s="26">
        <v>8</v>
      </c>
      <c r="K192" s="27">
        <f t="shared" si="5"/>
        <v>5733.55</v>
      </c>
      <c r="L192" s="27">
        <f>3161.03+2572.52</f>
        <v>5733.55</v>
      </c>
      <c r="M192" s="27"/>
      <c r="N192" s="1">
        <v>6</v>
      </c>
      <c r="O192" s="27">
        <f t="shared" si="6"/>
        <v>15866.6</v>
      </c>
      <c r="P192" s="27">
        <f>12416.6+3450</f>
        <v>15866.6</v>
      </c>
      <c r="Q192" s="27"/>
      <c r="R192" s="31"/>
    </row>
    <row r="193" spans="1:18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8</v>
      </c>
      <c r="J193" s="26">
        <v>8</v>
      </c>
      <c r="K193" s="27">
        <f t="shared" si="5"/>
        <v>13975.1</v>
      </c>
      <c r="L193" s="27">
        <v>13975.1</v>
      </c>
      <c r="M193" s="27"/>
      <c r="N193" s="2">
        <v>7</v>
      </c>
      <c r="O193" s="27">
        <f t="shared" si="6"/>
        <v>29073</v>
      </c>
      <c r="P193" s="27">
        <v>29073</v>
      </c>
      <c r="Q193" s="27"/>
      <c r="R193" s="31"/>
    </row>
    <row r="194" spans="1:18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44</v>
      </c>
      <c r="I194" s="2">
        <v>42</v>
      </c>
      <c r="J194" s="26">
        <v>44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31"/>
    </row>
    <row r="195" spans="1:18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5651.8</v>
      </c>
      <c r="L195" s="27">
        <v>5651.8</v>
      </c>
      <c r="M195" s="27"/>
      <c r="N195" s="2"/>
      <c r="O195" s="27">
        <f t="shared" si="6"/>
        <v>0</v>
      </c>
      <c r="P195" s="27"/>
      <c r="Q195" s="27"/>
      <c r="R195" s="31"/>
    </row>
    <row r="196" spans="1:18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31"/>
    </row>
    <row r="197" spans="1:18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31"/>
    </row>
    <row r="198" spans="1:18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31"/>
    </row>
    <row r="199" spans="1:18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60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31"/>
    </row>
    <row r="200" spans="1:18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31"/>
    </row>
    <row r="201" spans="1:18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32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31"/>
    </row>
    <row r="202" spans="1:18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31"/>
    </row>
    <row r="203" spans="1:18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31"/>
    </row>
    <row r="204" spans="1:18" ht="27" customHeight="1">
      <c r="A204" s="53">
        <v>106</v>
      </c>
      <c r="B204" s="54" t="s">
        <v>489</v>
      </c>
      <c r="C204" s="53" t="s">
        <v>18</v>
      </c>
      <c r="D204" s="54"/>
      <c r="E204" s="54" t="s">
        <v>50</v>
      </c>
      <c r="F204" s="54" t="s">
        <v>490</v>
      </c>
      <c r="G204" s="54" t="s">
        <v>124</v>
      </c>
      <c r="H204" s="55">
        <v>9</v>
      </c>
      <c r="I204" s="56">
        <v>2</v>
      </c>
      <c r="J204" s="57">
        <v>2</v>
      </c>
      <c r="K204" s="27">
        <f t="shared" si="5"/>
        <v>1656.9</v>
      </c>
      <c r="L204" s="58">
        <v>1656.9</v>
      </c>
      <c r="M204" s="58"/>
      <c r="N204" s="56"/>
      <c r="O204" s="39"/>
      <c r="P204" s="58"/>
      <c r="Q204" s="58"/>
      <c r="R204" s="31"/>
    </row>
    <row r="205" spans="1:18" ht="27" customHeight="1">
      <c r="A205" s="46">
        <v>107</v>
      </c>
      <c r="B205" s="60" t="s">
        <v>325</v>
      </c>
      <c r="C205" s="46" t="s">
        <v>18</v>
      </c>
      <c r="D205" s="60"/>
      <c r="E205" s="60" t="s">
        <v>36</v>
      </c>
      <c r="F205" s="60" t="s">
        <v>446</v>
      </c>
      <c r="G205" s="60" t="s">
        <v>142</v>
      </c>
      <c r="H205" s="61">
        <v>13</v>
      </c>
      <c r="I205" s="32">
        <v>8</v>
      </c>
      <c r="J205" s="86">
        <v>9</v>
      </c>
      <c r="K205" s="27">
        <f t="shared" ref="K205:K207" si="7">L205+M205</f>
        <v>12294.11</v>
      </c>
      <c r="L205" s="63">
        <f>4320.42+7973.69</f>
        <v>12294.11</v>
      </c>
      <c r="M205" s="63"/>
      <c r="N205" s="32"/>
      <c r="O205" s="27">
        <f t="shared" ref="O205:O207" si="8">P205+Q205</f>
        <v>0</v>
      </c>
      <c r="P205" s="63"/>
      <c r="Q205" s="63"/>
      <c r="R205" s="31"/>
    </row>
    <row r="206" spans="1:18" ht="27" customHeight="1">
      <c r="A206" s="46"/>
      <c r="B206" s="23" t="s">
        <v>325</v>
      </c>
      <c r="C206" s="24" t="s">
        <v>18</v>
      </c>
      <c r="D206" s="23"/>
      <c r="E206" s="23" t="s">
        <v>36</v>
      </c>
      <c r="F206" s="23" t="s">
        <v>369</v>
      </c>
      <c r="G206" s="23" t="s">
        <v>124</v>
      </c>
      <c r="H206" s="25">
        <v>4</v>
      </c>
      <c r="I206" s="2"/>
      <c r="J206" s="26"/>
      <c r="K206" s="27">
        <f t="shared" si="7"/>
        <v>0</v>
      </c>
      <c r="L206" s="27"/>
      <c r="M206" s="27"/>
      <c r="N206" s="2"/>
      <c r="O206" s="27">
        <f t="shared" si="8"/>
        <v>0</v>
      </c>
      <c r="P206" s="27"/>
      <c r="Q206" s="27"/>
      <c r="R206" s="31"/>
    </row>
    <row r="207" spans="1:18" ht="18.75" customHeight="1" thickBot="1">
      <c r="A207" s="47"/>
      <c r="B207" s="48" t="s">
        <v>325</v>
      </c>
      <c r="C207" s="49" t="s">
        <v>18</v>
      </c>
      <c r="D207" s="48"/>
      <c r="E207" s="48" t="s">
        <v>370</v>
      </c>
      <c r="F207" s="48" t="s">
        <v>371</v>
      </c>
      <c r="G207" s="48" t="s">
        <v>136</v>
      </c>
      <c r="H207" s="50">
        <v>3</v>
      </c>
      <c r="I207" s="33">
        <v>2</v>
      </c>
      <c r="J207" s="51">
        <v>2</v>
      </c>
      <c r="K207" s="27">
        <f t="shared" si="7"/>
        <v>0</v>
      </c>
      <c r="L207" s="52"/>
      <c r="M207" s="52"/>
      <c r="N207" s="33"/>
      <c r="O207" s="27">
        <f t="shared" si="8"/>
        <v>0</v>
      </c>
      <c r="P207" s="52"/>
      <c r="Q207" s="52"/>
      <c r="R207" s="31"/>
    </row>
    <row r="208" spans="1:18" ht="16.5" customHeight="1">
      <c r="A208" s="87" t="s">
        <v>145</v>
      </c>
      <c r="B208" s="87"/>
      <c r="C208" s="88"/>
      <c r="D208" s="89"/>
      <c r="E208" s="89"/>
      <c r="F208" s="89"/>
      <c r="G208" s="89"/>
      <c r="H208" s="88">
        <f>SUM(H10:H207)</f>
        <v>3712</v>
      </c>
      <c r="I208" s="88">
        <f>SUM(I10:I207)</f>
        <v>2188</v>
      </c>
      <c r="J208" s="88">
        <f>SUM(J10:J207)</f>
        <v>2413</v>
      </c>
      <c r="K208" s="90">
        <f>SUM(K10:K207)</f>
        <v>1695765.57</v>
      </c>
      <c r="L208" s="90">
        <f t="shared" ref="L208:M208" si="9">SUM(L10:L207)</f>
        <v>1695765.57</v>
      </c>
      <c r="M208" s="88">
        <f t="shared" si="9"/>
        <v>0</v>
      </c>
      <c r="N208" s="88">
        <f>SUM(N10:N207)</f>
        <v>1284</v>
      </c>
      <c r="O208" s="90">
        <f>SUM(O10:O207)</f>
        <v>3486738.1799999997</v>
      </c>
      <c r="P208" s="90">
        <f>SUM(P10:P207)</f>
        <v>3486738.1799999997</v>
      </c>
      <c r="Q208" s="90">
        <f>SUM(Q10:Q207)</f>
        <v>0</v>
      </c>
      <c r="R208" s="31"/>
    </row>
    <row r="209" spans="1:19" ht="15" customHeight="1">
      <c r="A209" s="24"/>
      <c r="B209" s="23"/>
      <c r="C209" s="24"/>
      <c r="D209" s="23"/>
      <c r="E209" s="23"/>
      <c r="F209" s="23"/>
      <c r="G209" s="23"/>
      <c r="H209" s="98"/>
      <c r="I209" s="98"/>
      <c r="J209" s="98"/>
      <c r="K209" s="98"/>
      <c r="L209" s="98"/>
      <c r="M209" s="98"/>
      <c r="N209" s="98"/>
      <c r="O209" s="98"/>
      <c r="P209" s="24"/>
      <c r="Q209" s="24"/>
      <c r="R209" s="31"/>
    </row>
    <row r="210" spans="1:19">
      <c r="R210" s="31"/>
    </row>
    <row r="211" spans="1:19">
      <c r="K211" s="31"/>
      <c r="L211" s="31"/>
      <c r="M211" s="31"/>
      <c r="N211" s="31"/>
      <c r="O211" s="31"/>
    </row>
    <row r="212" spans="1:19">
      <c r="K212" s="31"/>
      <c r="L212" s="31"/>
      <c r="N212" s="31"/>
      <c r="O212" s="31"/>
    </row>
    <row r="213" spans="1:19">
      <c r="K213" s="31"/>
      <c r="L213" s="31"/>
      <c r="M213" s="31"/>
      <c r="N213" s="31"/>
      <c r="O213" s="31"/>
      <c r="P213" s="31"/>
      <c r="Q213" s="31"/>
      <c r="S213" s="31"/>
    </row>
    <row r="214" spans="1:19">
      <c r="K214" s="31"/>
      <c r="L214" s="31"/>
      <c r="M214" s="31"/>
      <c r="N214" s="31"/>
      <c r="O214" s="31"/>
      <c r="P214" s="31"/>
      <c r="Q214" s="31"/>
    </row>
    <row r="215" spans="1:19">
      <c r="K215" s="31"/>
      <c r="L215" s="31"/>
      <c r="M215" s="31"/>
      <c r="N215" s="31"/>
      <c r="O215" s="31"/>
      <c r="P215" s="31"/>
      <c r="Q215" s="31"/>
    </row>
    <row r="216" spans="1:19">
      <c r="K216" s="31"/>
      <c r="L216" s="31"/>
      <c r="M216" s="31"/>
      <c r="N216" s="31"/>
      <c r="O216" s="31"/>
      <c r="P216" s="31"/>
      <c r="Q216" s="31"/>
    </row>
    <row r="217" spans="1:19">
      <c r="K217" s="31"/>
      <c r="L217" s="31"/>
      <c r="M217" s="31"/>
      <c r="N217" s="31"/>
      <c r="O217" s="31"/>
      <c r="P217" s="31"/>
      <c r="Q217" s="31"/>
      <c r="S217" s="31"/>
    </row>
    <row r="219" spans="1:19">
      <c r="K219" s="31"/>
      <c r="O219" s="31"/>
      <c r="P219" s="31"/>
    </row>
    <row r="222" spans="1:19">
      <c r="O222" s="31"/>
    </row>
    <row r="223" spans="1:19">
      <c r="L223" s="31"/>
    </row>
  </sheetData>
  <mergeCells count="8">
    <mergeCell ref="A208:B208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R185"/>
  <sheetViews>
    <sheetView topLeftCell="A153" zoomScale="79" zoomScaleNormal="79" workbookViewId="0">
      <selection activeCell="H170" sqref="A7:Q170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f t="shared" si="0"/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3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2</v>
      </c>
      <c r="I11" s="1"/>
      <c r="J11" s="26"/>
      <c r="K11" s="27">
        <f t="shared" ref="K11:K76" si="2">L11+M11</f>
        <v>0</v>
      </c>
      <c r="L11" s="27"/>
      <c r="M11" s="27"/>
      <c r="N11" s="1">
        <v>4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4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292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4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268</v>
      </c>
      <c r="G15" s="23" t="s">
        <v>136</v>
      </c>
      <c r="H15" s="25">
        <v>2</v>
      </c>
      <c r="I15" s="2"/>
      <c r="J15" s="26"/>
      <c r="K15" s="27">
        <f t="shared" si="2"/>
        <v>0</v>
      </c>
      <c r="L15" s="27"/>
      <c r="M15" s="27"/>
      <c r="N15" s="2"/>
      <c r="O15" s="27">
        <f t="shared" si="1"/>
        <v>0</v>
      </c>
      <c r="P15" s="27"/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6</v>
      </c>
      <c r="I16" s="1">
        <v>3</v>
      </c>
      <c r="J16" s="26">
        <v>3</v>
      </c>
      <c r="K16" s="27">
        <f t="shared" si="2"/>
        <v>0</v>
      </c>
      <c r="L16" s="27"/>
      <c r="M16" s="27"/>
      <c r="N16" s="1">
        <v>6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4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7</v>
      </c>
      <c r="I20" s="1"/>
      <c r="J20" s="26"/>
      <c r="K20" s="27">
        <f t="shared" si="2"/>
        <v>0</v>
      </c>
      <c r="L20" s="27"/>
      <c r="M20" s="27"/>
      <c r="N20" s="1">
        <v>6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292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292</v>
      </c>
      <c r="G22" s="23" t="s">
        <v>124</v>
      </c>
      <c r="H22" s="25">
        <v>1</v>
      </c>
      <c r="I22" s="2"/>
      <c r="J22" s="26"/>
      <c r="K22" s="27">
        <f t="shared" si="2"/>
        <v>0</v>
      </c>
      <c r="L22" s="27"/>
      <c r="M22" s="27"/>
      <c r="N22" s="2">
        <v>1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4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3</v>
      </c>
      <c r="I27" s="1"/>
      <c r="J27" s="44"/>
      <c r="K27" s="27">
        <f t="shared" si="2"/>
        <v>0</v>
      </c>
      <c r="L27" s="27"/>
      <c r="M27" s="27"/>
      <c r="N27" s="1"/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/>
      <c r="L28" s="27"/>
      <c r="M28" s="27"/>
      <c r="N28" s="1"/>
      <c r="O28" s="27"/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4</v>
      </c>
      <c r="I29" s="1"/>
      <c r="J29" s="26"/>
      <c r="K29" s="27">
        <f t="shared" si="2"/>
        <v>0</v>
      </c>
      <c r="L29" s="27"/>
      <c r="M29" s="27"/>
      <c r="N29" s="1"/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3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123</v>
      </c>
      <c r="G31" s="23" t="s">
        <v>136</v>
      </c>
      <c r="H31" s="25">
        <v>5</v>
      </c>
      <c r="I31" s="2"/>
      <c r="J31" s="26"/>
      <c r="K31" s="27">
        <f t="shared" si="2"/>
        <v>0</v>
      </c>
      <c r="L31" s="27"/>
      <c r="M31" s="27"/>
      <c r="N31" s="2"/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6</v>
      </c>
      <c r="I32" s="1">
        <v>1</v>
      </c>
      <c r="J32" s="26">
        <v>1</v>
      </c>
      <c r="K32" s="27">
        <f t="shared" si="2"/>
        <v>0</v>
      </c>
      <c r="L32" s="27"/>
      <c r="M32" s="27"/>
      <c r="N32" s="1">
        <v>4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292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2</v>
      </c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2</v>
      </c>
      <c r="I35" s="1"/>
      <c r="J35" s="26"/>
      <c r="K35" s="27">
        <f t="shared" si="2"/>
        <v>0</v>
      </c>
      <c r="L35" s="27"/>
      <c r="M35" s="27"/>
      <c r="N35" s="1">
        <v>1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292</v>
      </c>
      <c r="G37" s="23" t="s">
        <v>136</v>
      </c>
      <c r="H37" s="25">
        <v>1</v>
      </c>
      <c r="I37" s="2"/>
      <c r="J37" s="26"/>
      <c r="K37" s="27">
        <f t="shared" si="2"/>
        <v>0</v>
      </c>
      <c r="L37" s="27"/>
      <c r="M37" s="27"/>
      <c r="N37" s="2"/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1</v>
      </c>
      <c r="I38" s="1"/>
      <c r="J38" s="26"/>
      <c r="K38" s="27">
        <f t="shared" si="2"/>
        <v>0</v>
      </c>
      <c r="L38" s="27"/>
      <c r="M38" s="27"/>
      <c r="N38" s="1">
        <v>5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123</v>
      </c>
      <c r="G39" s="23" t="s">
        <v>136</v>
      </c>
      <c r="H39" s="25">
        <v>9</v>
      </c>
      <c r="I39" s="2"/>
      <c r="J39" s="26"/>
      <c r="K39" s="27">
        <f t="shared" si="2"/>
        <v>0</v>
      </c>
      <c r="L39" s="27"/>
      <c r="M39" s="27"/>
      <c r="N39" s="2"/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1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2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120</v>
      </c>
      <c r="G43" s="23" t="s">
        <v>124</v>
      </c>
      <c r="H43" s="25">
        <v>0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1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294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/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120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1</v>
      </c>
      <c r="O47" s="27">
        <f t="shared" si="1"/>
        <v>0</v>
      </c>
      <c r="P47" s="27"/>
      <c r="Q47" s="27"/>
      <c r="R47" s="20"/>
    </row>
    <row r="48" spans="1:38" ht="15" customHeight="1">
      <c r="A48" s="24">
        <v>20</v>
      </c>
      <c r="B48" s="23" t="s">
        <v>48</v>
      </c>
      <c r="C48" s="24" t="s">
        <v>18</v>
      </c>
      <c r="D48" s="23"/>
      <c r="E48" s="23" t="s">
        <v>19</v>
      </c>
      <c r="F48" s="23" t="s">
        <v>295</v>
      </c>
      <c r="G48" s="23" t="s">
        <v>142</v>
      </c>
      <c r="H48" s="25">
        <v>4</v>
      </c>
      <c r="I48" s="1">
        <v>1</v>
      </c>
      <c r="J48" s="26">
        <v>1</v>
      </c>
      <c r="K48" s="27">
        <f t="shared" si="2"/>
        <v>0</v>
      </c>
      <c r="L48" s="27"/>
      <c r="M48" s="27"/>
      <c r="N48" s="1">
        <v>2</v>
      </c>
      <c r="O48" s="27">
        <f t="shared" si="1"/>
        <v>0</v>
      </c>
      <c r="P48" s="27"/>
      <c r="Q48" s="27"/>
      <c r="R48" s="20"/>
    </row>
    <row r="49" spans="1:38" ht="15" customHeight="1">
      <c r="A49" s="24"/>
      <c r="B49" s="23" t="s">
        <v>48</v>
      </c>
      <c r="C49" s="24" t="s">
        <v>18</v>
      </c>
      <c r="D49" s="23"/>
      <c r="E49" s="23" t="s">
        <v>19</v>
      </c>
      <c r="F49" s="23" t="s">
        <v>120</v>
      </c>
      <c r="G49" s="23" t="s">
        <v>122</v>
      </c>
      <c r="H49" s="25">
        <v>0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20"/>
    </row>
    <row r="50" spans="1:38" ht="15" customHeight="1">
      <c r="A50" s="24">
        <v>21</v>
      </c>
      <c r="B50" s="23" t="s">
        <v>49</v>
      </c>
      <c r="C50" s="24" t="s">
        <v>18</v>
      </c>
      <c r="D50" s="23"/>
      <c r="E50" s="23" t="s">
        <v>19</v>
      </c>
      <c r="F50" s="23" t="s">
        <v>120</v>
      </c>
      <c r="G50" s="23" t="s">
        <v>142</v>
      </c>
      <c r="H50" s="25">
        <v>4</v>
      </c>
      <c r="I50" s="1"/>
      <c r="J50" s="26"/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20"/>
    </row>
    <row r="51" spans="1:38" s="7" customFormat="1" ht="15" customHeight="1">
      <c r="A51" s="24">
        <v>22</v>
      </c>
      <c r="B51" s="23" t="s">
        <v>138</v>
      </c>
      <c r="C51" s="24" t="s">
        <v>18</v>
      </c>
      <c r="D51" s="23"/>
      <c r="E51" s="23" t="s">
        <v>34</v>
      </c>
      <c r="F51" s="23" t="s">
        <v>292</v>
      </c>
      <c r="G51" s="23" t="s">
        <v>142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 spans="1:38" ht="15" customHeight="1">
      <c r="A52" s="24"/>
      <c r="B52" s="23" t="s">
        <v>138</v>
      </c>
      <c r="C52" s="24" t="s">
        <v>18</v>
      </c>
      <c r="D52" s="23"/>
      <c r="E52" s="23" t="s">
        <v>34</v>
      </c>
      <c r="F52" s="23" t="s">
        <v>268</v>
      </c>
      <c r="G52" s="23" t="s">
        <v>136</v>
      </c>
      <c r="H52" s="25">
        <v>2</v>
      </c>
      <c r="I52" s="2"/>
      <c r="J52" s="26"/>
      <c r="K52" s="27">
        <f t="shared" si="2"/>
        <v>0</v>
      </c>
      <c r="L52" s="27"/>
      <c r="M52" s="27"/>
      <c r="N52" s="2"/>
      <c r="O52" s="27">
        <f t="shared" si="1"/>
        <v>0</v>
      </c>
      <c r="P52" s="27"/>
      <c r="Q52" s="27"/>
      <c r="R52" s="20"/>
    </row>
    <row r="53" spans="1:38" s="8" customFormat="1">
      <c r="A53" s="78">
        <v>23</v>
      </c>
      <c r="B53" s="79" t="s">
        <v>147</v>
      </c>
      <c r="C53" s="80" t="s">
        <v>18</v>
      </c>
      <c r="D53" s="79"/>
      <c r="E53" s="79" t="s">
        <v>50</v>
      </c>
      <c r="F53" s="79"/>
      <c r="G53" s="79" t="s">
        <v>142</v>
      </c>
      <c r="H53" s="81">
        <v>0</v>
      </c>
      <c r="I53" s="82"/>
      <c r="J53" s="26"/>
      <c r="K53" s="27">
        <f t="shared" si="2"/>
        <v>0</v>
      </c>
      <c r="L53" s="83"/>
      <c r="M53" s="83"/>
      <c r="N53" s="26"/>
      <c r="O53" s="27">
        <f t="shared" si="1"/>
        <v>0</v>
      </c>
      <c r="P53" s="78"/>
      <c r="Q53" s="84"/>
      <c r="R53" s="20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7" customFormat="1" ht="24.75" customHeight="1">
      <c r="A54" s="29">
        <v>24</v>
      </c>
      <c r="B54" s="30" t="s">
        <v>51</v>
      </c>
      <c r="C54" s="29" t="s">
        <v>52</v>
      </c>
      <c r="D54" s="30" t="s">
        <v>53</v>
      </c>
      <c r="E54" s="30" t="s">
        <v>19</v>
      </c>
      <c r="F54" s="30" t="s">
        <v>292</v>
      </c>
      <c r="G54" s="30" t="s">
        <v>142</v>
      </c>
      <c r="H54" s="25">
        <v>5</v>
      </c>
      <c r="I54" s="1"/>
      <c r="J54" s="26"/>
      <c r="K54" s="27">
        <f t="shared" si="2"/>
        <v>0</v>
      </c>
      <c r="L54" s="27"/>
      <c r="M54" s="27"/>
      <c r="N54" s="1">
        <v>10</v>
      </c>
      <c r="O54" s="27">
        <f t="shared" si="1"/>
        <v>0</v>
      </c>
      <c r="P54" s="27"/>
      <c r="Q54" s="27"/>
      <c r="R54" s="20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 spans="1:38" ht="15" customHeight="1">
      <c r="A55" s="24">
        <v>25</v>
      </c>
      <c r="B55" s="23" t="s">
        <v>54</v>
      </c>
      <c r="C55" s="24" t="s">
        <v>18</v>
      </c>
      <c r="D55" s="23"/>
      <c r="E55" s="23" t="s">
        <v>19</v>
      </c>
      <c r="F55" s="23" t="s">
        <v>120</v>
      </c>
      <c r="G55" s="23" t="s">
        <v>142</v>
      </c>
      <c r="H55" s="25">
        <v>5</v>
      </c>
      <c r="I55" s="1">
        <v>3</v>
      </c>
      <c r="J55" s="26">
        <v>3</v>
      </c>
      <c r="K55" s="27">
        <f t="shared" si="2"/>
        <v>0</v>
      </c>
      <c r="L55" s="27"/>
      <c r="M55" s="27"/>
      <c r="N55" s="1">
        <v>2</v>
      </c>
      <c r="O55" s="27">
        <f t="shared" si="1"/>
        <v>0</v>
      </c>
      <c r="P55" s="27"/>
      <c r="Q55" s="27"/>
      <c r="R55" s="20"/>
    </row>
    <row r="56" spans="1:38" ht="15" customHeight="1">
      <c r="A56" s="24"/>
      <c r="B56" s="23" t="s">
        <v>54</v>
      </c>
      <c r="C56" s="24" t="s">
        <v>18</v>
      </c>
      <c r="D56" s="23"/>
      <c r="E56" s="23" t="s">
        <v>19</v>
      </c>
      <c r="F56" s="23" t="s">
        <v>292</v>
      </c>
      <c r="G56" s="23" t="s">
        <v>122</v>
      </c>
      <c r="H56" s="25">
        <v>2</v>
      </c>
      <c r="I56" s="1"/>
      <c r="J56" s="26"/>
      <c r="K56" s="27">
        <f t="shared" si="2"/>
        <v>0</v>
      </c>
      <c r="L56" s="27"/>
      <c r="M56" s="27"/>
      <c r="N56" s="1">
        <v>2</v>
      </c>
      <c r="O56" s="27">
        <f t="shared" si="1"/>
        <v>0</v>
      </c>
      <c r="P56" s="27"/>
      <c r="Q56" s="27"/>
      <c r="R56" s="20"/>
    </row>
    <row r="57" spans="1:38" s="7" customFormat="1" ht="15" customHeight="1">
      <c r="A57" s="24">
        <v>26</v>
      </c>
      <c r="B57" s="23" t="s">
        <v>55</v>
      </c>
      <c r="C57" s="24" t="s">
        <v>18</v>
      </c>
      <c r="D57" s="23"/>
      <c r="E57" s="23" t="s">
        <v>19</v>
      </c>
      <c r="F57" s="23" t="s">
        <v>292</v>
      </c>
      <c r="G57" s="23" t="s">
        <v>142</v>
      </c>
      <c r="H57" s="25">
        <v>2</v>
      </c>
      <c r="I57" s="1"/>
      <c r="J57" s="26"/>
      <c r="K57" s="27">
        <f t="shared" si="2"/>
        <v>0</v>
      </c>
      <c r="L57" s="27"/>
      <c r="M57" s="27"/>
      <c r="N57" s="1">
        <v>1</v>
      </c>
      <c r="O57" s="27">
        <f t="shared" si="1"/>
        <v>0</v>
      </c>
      <c r="P57" s="27"/>
      <c r="Q57" s="27"/>
      <c r="R57" s="20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 spans="1:38" ht="15.6" customHeight="1">
      <c r="A58" s="24"/>
      <c r="B58" s="23" t="s">
        <v>55</v>
      </c>
      <c r="C58" s="24" t="s">
        <v>18</v>
      </c>
      <c r="D58" s="23"/>
      <c r="E58" s="23" t="s">
        <v>19</v>
      </c>
      <c r="F58" s="23" t="s">
        <v>292</v>
      </c>
      <c r="G58" s="23" t="s">
        <v>122</v>
      </c>
      <c r="H58" s="25">
        <v>5</v>
      </c>
      <c r="I58" s="1"/>
      <c r="J58" s="26"/>
      <c r="K58" s="27">
        <f t="shared" si="2"/>
        <v>0</v>
      </c>
      <c r="L58" s="27"/>
      <c r="M58" s="27"/>
      <c r="N58" s="1">
        <v>1</v>
      </c>
      <c r="O58" s="27">
        <f t="shared" si="1"/>
        <v>0</v>
      </c>
      <c r="P58" s="27"/>
      <c r="Q58" s="27"/>
      <c r="R58" s="20"/>
    </row>
    <row r="59" spans="1:38" s="7" customFormat="1" ht="15" customHeight="1">
      <c r="A59" s="24">
        <v>27</v>
      </c>
      <c r="B59" s="23" t="s">
        <v>56</v>
      </c>
      <c r="C59" s="24" t="s">
        <v>52</v>
      </c>
      <c r="D59" s="23" t="s">
        <v>57</v>
      </c>
      <c r="E59" s="23" t="s">
        <v>19</v>
      </c>
      <c r="F59" s="23" t="s">
        <v>120</v>
      </c>
      <c r="G59" s="23" t="s">
        <v>142</v>
      </c>
      <c r="H59" s="25">
        <v>1</v>
      </c>
      <c r="I59" s="1"/>
      <c r="J59" s="26"/>
      <c r="K59" s="27">
        <f t="shared" si="2"/>
        <v>0</v>
      </c>
      <c r="L59" s="27"/>
      <c r="M59" s="27"/>
      <c r="N59" s="1"/>
      <c r="O59" s="27">
        <f t="shared" si="1"/>
        <v>0</v>
      </c>
      <c r="P59" s="27"/>
      <c r="Q59" s="27"/>
      <c r="R59" s="20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 spans="1:38" s="7" customFormat="1" ht="15" customHeight="1">
      <c r="A60" s="24">
        <v>28</v>
      </c>
      <c r="B60" s="23" t="s">
        <v>58</v>
      </c>
      <c r="C60" s="24" t="s">
        <v>18</v>
      </c>
      <c r="D60" s="23"/>
      <c r="E60" s="23" t="s">
        <v>19</v>
      </c>
      <c r="F60" s="23" t="s">
        <v>292</v>
      </c>
      <c r="G60" s="23" t="s">
        <v>142</v>
      </c>
      <c r="H60" s="25">
        <v>2</v>
      </c>
      <c r="I60" s="1"/>
      <c r="J60" s="26"/>
      <c r="K60" s="27">
        <f t="shared" si="2"/>
        <v>0</v>
      </c>
      <c r="L60" s="27"/>
      <c r="M60" s="27"/>
      <c r="N60" s="1"/>
      <c r="O60" s="27">
        <f t="shared" si="1"/>
        <v>0</v>
      </c>
      <c r="P60" s="27"/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s="7" customFormat="1" ht="15" customHeight="1">
      <c r="A61" s="24"/>
      <c r="B61" s="23" t="s">
        <v>58</v>
      </c>
      <c r="C61" s="24" t="s">
        <v>18</v>
      </c>
      <c r="D61" s="23"/>
      <c r="E61" s="23" t="s">
        <v>19</v>
      </c>
      <c r="F61" s="23" t="s">
        <v>292</v>
      </c>
      <c r="G61" s="23" t="s">
        <v>122</v>
      </c>
      <c r="H61" s="25">
        <v>1</v>
      </c>
      <c r="I61" s="1"/>
      <c r="J61" s="26"/>
      <c r="K61" s="27">
        <f t="shared" si="2"/>
        <v>0</v>
      </c>
      <c r="L61" s="27"/>
      <c r="M61" s="27"/>
      <c r="N61" s="1">
        <v>3</v>
      </c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" customHeight="1">
      <c r="A62" s="24">
        <v>29</v>
      </c>
      <c r="B62" s="23" t="s">
        <v>59</v>
      </c>
      <c r="C62" s="24" t="s">
        <v>18</v>
      </c>
      <c r="D62" s="23"/>
      <c r="E62" s="23" t="s">
        <v>60</v>
      </c>
      <c r="F62" s="23" t="s">
        <v>292</v>
      </c>
      <c r="G62" s="23" t="s">
        <v>142</v>
      </c>
      <c r="H62" s="25">
        <v>4</v>
      </c>
      <c r="I62" s="1"/>
      <c r="J62" s="26"/>
      <c r="K62" s="27">
        <f t="shared" si="2"/>
        <v>0</v>
      </c>
      <c r="L62" s="27"/>
      <c r="M62" s="27"/>
      <c r="N62" s="1"/>
      <c r="O62" s="27">
        <f t="shared" si="1"/>
        <v>0</v>
      </c>
      <c r="P62" s="27"/>
      <c r="Q62" s="27"/>
      <c r="R62" s="20"/>
    </row>
    <row r="63" spans="1:38" ht="15" customHeight="1">
      <c r="A63" s="24"/>
      <c r="B63" s="23" t="s">
        <v>139</v>
      </c>
      <c r="C63" s="24" t="s">
        <v>18</v>
      </c>
      <c r="D63" s="23"/>
      <c r="E63" s="23" t="s">
        <v>60</v>
      </c>
      <c r="F63" s="23" t="s">
        <v>292</v>
      </c>
      <c r="G63" s="23" t="s">
        <v>136</v>
      </c>
      <c r="H63" s="25">
        <v>5</v>
      </c>
      <c r="I63" s="2"/>
      <c r="J63" s="26"/>
      <c r="K63" s="27">
        <f t="shared" si="2"/>
        <v>0</v>
      </c>
      <c r="L63" s="27"/>
      <c r="M63" s="27"/>
      <c r="N63" s="2"/>
      <c r="O63" s="27">
        <f t="shared" si="1"/>
        <v>0</v>
      </c>
      <c r="P63" s="27"/>
      <c r="Q63" s="27"/>
      <c r="R63" s="20"/>
    </row>
    <row r="64" spans="1:38" s="7" customFormat="1" ht="15" customHeight="1">
      <c r="A64" s="24">
        <v>30</v>
      </c>
      <c r="B64" s="23" t="s">
        <v>61</v>
      </c>
      <c r="C64" s="24" t="s">
        <v>18</v>
      </c>
      <c r="D64" s="23"/>
      <c r="E64" s="23" t="s">
        <v>41</v>
      </c>
      <c r="F64" s="23" t="s">
        <v>268</v>
      </c>
      <c r="G64" s="23" t="s">
        <v>142</v>
      </c>
      <c r="H64" s="25">
        <v>4</v>
      </c>
      <c r="I64" s="1"/>
      <c r="J64" s="26"/>
      <c r="K64" s="27">
        <f t="shared" si="2"/>
        <v>0</v>
      </c>
      <c r="L64" s="27"/>
      <c r="M64" s="27"/>
      <c r="N64" s="1">
        <v>7</v>
      </c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ht="15" customHeight="1">
      <c r="A65" s="24"/>
      <c r="B65" s="23" t="s">
        <v>61</v>
      </c>
      <c r="C65" s="24" t="s">
        <v>18</v>
      </c>
      <c r="D65" s="23"/>
      <c r="E65" s="23" t="s">
        <v>41</v>
      </c>
      <c r="F65" s="23" t="s">
        <v>292</v>
      </c>
      <c r="G65" s="23" t="s">
        <v>136</v>
      </c>
      <c r="H65" s="25">
        <v>0</v>
      </c>
      <c r="I65" s="2"/>
      <c r="J65" s="26"/>
      <c r="K65" s="27">
        <f t="shared" si="2"/>
        <v>0</v>
      </c>
      <c r="L65" s="27"/>
      <c r="M65" s="27"/>
      <c r="N65" s="2"/>
      <c r="O65" s="27">
        <f t="shared" si="1"/>
        <v>0</v>
      </c>
      <c r="P65" s="27"/>
      <c r="Q65" s="27"/>
      <c r="R65" s="20"/>
    </row>
    <row r="66" spans="1:38" ht="15" customHeight="1">
      <c r="A66" s="24">
        <v>31</v>
      </c>
      <c r="B66" s="23" t="s">
        <v>62</v>
      </c>
      <c r="C66" s="24" t="s">
        <v>18</v>
      </c>
      <c r="D66" s="23"/>
      <c r="E66" s="23" t="s">
        <v>19</v>
      </c>
      <c r="F66" s="23" t="s">
        <v>292</v>
      </c>
      <c r="G66" s="23" t="s">
        <v>142</v>
      </c>
      <c r="H66" s="25">
        <v>6</v>
      </c>
      <c r="I66" s="1">
        <v>1</v>
      </c>
      <c r="J66" s="26">
        <v>1</v>
      </c>
      <c r="K66" s="27">
        <f t="shared" si="2"/>
        <v>0</v>
      </c>
      <c r="L66" s="27"/>
      <c r="M66" s="27"/>
      <c r="N66" s="1">
        <v>2</v>
      </c>
      <c r="O66" s="27">
        <f t="shared" si="1"/>
        <v>0</v>
      </c>
      <c r="P66" s="27"/>
      <c r="Q66" s="27"/>
      <c r="R66" s="20"/>
    </row>
    <row r="67" spans="1:38" ht="15" customHeight="1">
      <c r="A67" s="24"/>
      <c r="B67" s="23" t="s">
        <v>62</v>
      </c>
      <c r="C67" s="24" t="s">
        <v>18</v>
      </c>
      <c r="D67" s="23"/>
      <c r="E67" s="23" t="s">
        <v>19</v>
      </c>
      <c r="F67" s="23" t="s">
        <v>277</v>
      </c>
      <c r="G67" s="23" t="s">
        <v>124</v>
      </c>
      <c r="H67" s="25">
        <v>0</v>
      </c>
      <c r="I67" s="1"/>
      <c r="J67" s="26"/>
      <c r="K67" s="27">
        <f t="shared" si="2"/>
        <v>0</v>
      </c>
      <c r="L67" s="27"/>
      <c r="M67" s="27"/>
      <c r="N67" s="1"/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62</v>
      </c>
      <c r="C68" s="24" t="s">
        <v>18</v>
      </c>
      <c r="D68" s="23"/>
      <c r="E68" s="23" t="s">
        <v>19</v>
      </c>
      <c r="F68" s="23" t="s">
        <v>120</v>
      </c>
      <c r="G68" s="23" t="s">
        <v>122</v>
      </c>
      <c r="H68" s="25">
        <v>2</v>
      </c>
      <c r="I68" s="1"/>
      <c r="J68" s="26"/>
      <c r="K68" s="27">
        <f t="shared" si="2"/>
        <v>0</v>
      </c>
      <c r="L68" s="27"/>
      <c r="M68" s="27"/>
      <c r="N68" s="1">
        <v>2</v>
      </c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62</v>
      </c>
      <c r="C69" s="24" t="s">
        <v>18</v>
      </c>
      <c r="D69" s="23"/>
      <c r="E69" s="23" t="s">
        <v>19</v>
      </c>
      <c r="F69" s="23" t="s">
        <v>292</v>
      </c>
      <c r="G69" s="23" t="s">
        <v>210</v>
      </c>
      <c r="H69" s="25">
        <v>1</v>
      </c>
      <c r="I69" s="1"/>
      <c r="J69" s="26"/>
      <c r="K69" s="27">
        <f t="shared" si="2"/>
        <v>0</v>
      </c>
      <c r="L69" s="27"/>
      <c r="M69" s="27"/>
      <c r="N69" s="1">
        <v>1</v>
      </c>
      <c r="O69" s="27">
        <f t="shared" si="1"/>
        <v>0</v>
      </c>
      <c r="P69" s="27"/>
      <c r="Q69" s="27"/>
      <c r="R69" s="20"/>
    </row>
    <row r="70" spans="1:38" ht="15" customHeight="1">
      <c r="A70" s="24">
        <v>32</v>
      </c>
      <c r="B70" s="23" t="s">
        <v>63</v>
      </c>
      <c r="C70" s="24" t="s">
        <v>18</v>
      </c>
      <c r="D70" s="23"/>
      <c r="E70" s="23" t="s">
        <v>41</v>
      </c>
      <c r="F70" s="23" t="s">
        <v>120</v>
      </c>
      <c r="G70" s="23" t="s">
        <v>142</v>
      </c>
      <c r="H70" s="25">
        <v>5</v>
      </c>
      <c r="I70" s="1"/>
      <c r="J70" s="26"/>
      <c r="K70" s="27">
        <f t="shared" si="2"/>
        <v>0</v>
      </c>
      <c r="L70" s="27"/>
      <c r="M70" s="27"/>
      <c r="N70" s="1">
        <v>8</v>
      </c>
      <c r="O70" s="27">
        <f t="shared" si="1"/>
        <v>0</v>
      </c>
      <c r="P70" s="27"/>
      <c r="Q70" s="27"/>
      <c r="R70" s="20"/>
    </row>
    <row r="71" spans="1:38" ht="15" customHeight="1">
      <c r="A71" s="24"/>
      <c r="B71" s="23" t="s">
        <v>63</v>
      </c>
      <c r="C71" s="24" t="s">
        <v>18</v>
      </c>
      <c r="D71" s="23"/>
      <c r="E71" s="23" t="s">
        <v>41</v>
      </c>
      <c r="F71" s="23" t="s">
        <v>120</v>
      </c>
      <c r="G71" s="23" t="s">
        <v>136</v>
      </c>
      <c r="H71" s="25">
        <v>1</v>
      </c>
      <c r="I71" s="2"/>
      <c r="J71" s="26"/>
      <c r="K71" s="27">
        <f t="shared" si="2"/>
        <v>0</v>
      </c>
      <c r="L71" s="27"/>
      <c r="M71" s="27"/>
      <c r="N71" s="2"/>
      <c r="O71" s="27">
        <f t="shared" si="1"/>
        <v>0</v>
      </c>
      <c r="P71" s="27"/>
      <c r="Q71" s="27"/>
      <c r="R71" s="20"/>
    </row>
    <row r="72" spans="1:38" s="17" customFormat="1" ht="15" customHeight="1">
      <c r="A72" s="24">
        <v>33</v>
      </c>
      <c r="B72" s="23" t="s">
        <v>64</v>
      </c>
      <c r="C72" s="24" t="s">
        <v>18</v>
      </c>
      <c r="D72" s="23"/>
      <c r="E72" s="23" t="s">
        <v>41</v>
      </c>
      <c r="F72" s="23" t="s">
        <v>123</v>
      </c>
      <c r="G72" s="23" t="s">
        <v>142</v>
      </c>
      <c r="H72" s="25">
        <v>0</v>
      </c>
      <c r="I72" s="2"/>
      <c r="J72" s="26"/>
      <c r="K72" s="27">
        <f t="shared" si="2"/>
        <v>0</v>
      </c>
      <c r="L72" s="27"/>
      <c r="M72" s="27"/>
      <c r="N72" s="2"/>
      <c r="O72" s="27">
        <f t="shared" si="1"/>
        <v>0</v>
      </c>
      <c r="P72" s="27"/>
      <c r="Q72" s="27"/>
      <c r="R72" s="20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</row>
    <row r="73" spans="1:38" ht="15" customHeight="1">
      <c r="A73" s="24"/>
      <c r="B73" s="23" t="s">
        <v>64</v>
      </c>
      <c r="C73" s="24" t="s">
        <v>18</v>
      </c>
      <c r="D73" s="23"/>
      <c r="E73" s="23" t="s">
        <v>41</v>
      </c>
      <c r="F73" s="23" t="s">
        <v>123</v>
      </c>
      <c r="G73" s="23" t="s">
        <v>122</v>
      </c>
      <c r="H73" s="25">
        <v>0</v>
      </c>
      <c r="I73" s="1"/>
      <c r="J73" s="26"/>
      <c r="K73" s="27">
        <f t="shared" si="2"/>
        <v>0</v>
      </c>
      <c r="L73" s="27"/>
      <c r="M73" s="27"/>
      <c r="N73" s="1"/>
      <c r="O73" s="27">
        <f t="shared" si="1"/>
        <v>0</v>
      </c>
      <c r="P73" s="27"/>
      <c r="Q73" s="27"/>
      <c r="R73" s="20"/>
    </row>
    <row r="74" spans="1:38" s="17" customFormat="1" ht="15" customHeight="1">
      <c r="A74" s="24">
        <v>34</v>
      </c>
      <c r="B74" s="23" t="s">
        <v>238</v>
      </c>
      <c r="C74" s="24" t="s">
        <v>18</v>
      </c>
      <c r="D74" s="23"/>
      <c r="E74" s="23" t="s">
        <v>41</v>
      </c>
      <c r="F74" s="23" t="s">
        <v>123</v>
      </c>
      <c r="G74" s="23" t="s">
        <v>142</v>
      </c>
      <c r="H74" s="25">
        <v>8</v>
      </c>
      <c r="I74" s="1"/>
      <c r="J74" s="26"/>
      <c r="K74" s="27">
        <f t="shared" si="2"/>
        <v>0</v>
      </c>
      <c r="L74" s="27"/>
      <c r="M74" s="27"/>
      <c r="N74" s="1">
        <v>1</v>
      </c>
      <c r="O74" s="27">
        <f t="shared" si="1"/>
        <v>0</v>
      </c>
      <c r="P74" s="27"/>
      <c r="Q74" s="27"/>
      <c r="R74" s="20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</row>
    <row r="75" spans="1:38" s="7" customFormat="1" ht="15" customHeight="1">
      <c r="A75" s="24">
        <v>35</v>
      </c>
      <c r="B75" s="23" t="s">
        <v>65</v>
      </c>
      <c r="C75" s="24" t="s">
        <v>18</v>
      </c>
      <c r="D75" s="23"/>
      <c r="E75" s="23" t="s">
        <v>66</v>
      </c>
      <c r="F75" s="23" t="s">
        <v>295</v>
      </c>
      <c r="G75" s="23" t="s">
        <v>142</v>
      </c>
      <c r="H75" s="25">
        <v>3</v>
      </c>
      <c r="I75" s="1"/>
      <c r="J75" s="26"/>
      <c r="K75" s="27">
        <f t="shared" si="2"/>
        <v>0</v>
      </c>
      <c r="L75" s="27"/>
      <c r="M75" s="27"/>
      <c r="N75" s="1"/>
      <c r="O75" s="27">
        <f t="shared" si="1"/>
        <v>0</v>
      </c>
      <c r="P75" s="27"/>
      <c r="Q75" s="27"/>
      <c r="R75" s="20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 spans="1:38" ht="15" customHeight="1">
      <c r="A76" s="24"/>
      <c r="B76" s="23" t="s">
        <v>65</v>
      </c>
      <c r="C76" s="24" t="s">
        <v>18</v>
      </c>
      <c r="D76" s="23"/>
      <c r="E76" s="23" t="s">
        <v>66</v>
      </c>
      <c r="F76" s="23" t="s">
        <v>123</v>
      </c>
      <c r="G76" s="23" t="s">
        <v>136</v>
      </c>
      <c r="H76" s="25">
        <v>0</v>
      </c>
      <c r="I76" s="2"/>
      <c r="J76" s="26"/>
      <c r="K76" s="27">
        <f t="shared" si="2"/>
        <v>0</v>
      </c>
      <c r="L76" s="27"/>
      <c r="M76" s="27"/>
      <c r="N76" s="2"/>
      <c r="O76" s="27">
        <f t="shared" si="1"/>
        <v>0</v>
      </c>
      <c r="P76" s="27"/>
      <c r="Q76" s="27"/>
      <c r="R76" s="20"/>
    </row>
    <row r="77" spans="1:38" s="7" customFormat="1" ht="15" customHeight="1">
      <c r="A77" s="24">
        <v>36</v>
      </c>
      <c r="B77" s="23" t="s">
        <v>67</v>
      </c>
      <c r="C77" s="24" t="s">
        <v>18</v>
      </c>
      <c r="D77" s="23"/>
      <c r="E77" s="23" t="s">
        <v>19</v>
      </c>
      <c r="F77" s="23" t="s">
        <v>292</v>
      </c>
      <c r="G77" s="23" t="s">
        <v>142</v>
      </c>
      <c r="H77" s="25">
        <v>7</v>
      </c>
      <c r="I77" s="1">
        <v>5</v>
      </c>
      <c r="J77" s="26">
        <v>5</v>
      </c>
      <c r="K77" s="27">
        <f t="shared" ref="K77:K147" si="3">L77+M77</f>
        <v>0</v>
      </c>
      <c r="L77" s="27"/>
      <c r="M77" s="27"/>
      <c r="N77" s="1">
        <v>6</v>
      </c>
      <c r="O77" s="27">
        <f t="shared" si="1"/>
        <v>0</v>
      </c>
      <c r="P77" s="27"/>
      <c r="Q77" s="27"/>
      <c r="R77" s="20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 spans="1:38" s="28" customFormat="1" ht="15" customHeight="1">
      <c r="A78" s="24"/>
      <c r="B78" s="23" t="s">
        <v>67</v>
      </c>
      <c r="C78" s="24" t="s">
        <v>18</v>
      </c>
      <c r="D78" s="23"/>
      <c r="E78" s="23" t="s">
        <v>104</v>
      </c>
      <c r="F78" s="23" t="s">
        <v>123</v>
      </c>
      <c r="G78" s="23" t="s">
        <v>122</v>
      </c>
      <c r="H78" s="25">
        <v>0</v>
      </c>
      <c r="I78" s="1"/>
      <c r="J78" s="26"/>
      <c r="K78" s="27">
        <f t="shared" si="3"/>
        <v>0</v>
      </c>
      <c r="L78" s="27"/>
      <c r="M78" s="27"/>
      <c r="N78" s="1"/>
      <c r="O78" s="27">
        <f t="shared" si="1"/>
        <v>0</v>
      </c>
      <c r="P78" s="27"/>
      <c r="Q78" s="27"/>
      <c r="R78" s="20"/>
    </row>
    <row r="79" spans="1:38" ht="15" customHeight="1">
      <c r="A79" s="24">
        <v>37</v>
      </c>
      <c r="B79" s="23" t="s">
        <v>68</v>
      </c>
      <c r="C79" s="24" t="s">
        <v>18</v>
      </c>
      <c r="D79" s="24"/>
      <c r="E79" s="23" t="s">
        <v>50</v>
      </c>
      <c r="F79" s="23" t="s">
        <v>268</v>
      </c>
      <c r="G79" s="23" t="s">
        <v>142</v>
      </c>
      <c r="H79" s="25">
        <v>3</v>
      </c>
      <c r="I79" s="1"/>
      <c r="J79" s="26"/>
      <c r="K79" s="27">
        <f t="shared" si="3"/>
        <v>0</v>
      </c>
      <c r="L79" s="27"/>
      <c r="M79" s="27"/>
      <c r="N79" s="1"/>
      <c r="O79" s="27">
        <f t="shared" si="1"/>
        <v>0</v>
      </c>
      <c r="P79" s="27"/>
      <c r="Q79" s="27"/>
      <c r="R79" s="20"/>
    </row>
    <row r="80" spans="1:38" ht="15" customHeight="1">
      <c r="A80" s="24"/>
      <c r="B80" s="23" t="s">
        <v>68</v>
      </c>
      <c r="C80" s="24" t="s">
        <v>18</v>
      </c>
      <c r="D80" s="23"/>
      <c r="E80" s="23" t="s">
        <v>50</v>
      </c>
      <c r="F80" s="23" t="s">
        <v>123</v>
      </c>
      <c r="G80" s="23" t="s">
        <v>136</v>
      </c>
      <c r="H80" s="25">
        <v>0</v>
      </c>
      <c r="I80" s="2"/>
      <c r="J80" s="26"/>
      <c r="K80" s="27">
        <f t="shared" si="3"/>
        <v>0</v>
      </c>
      <c r="L80" s="27"/>
      <c r="M80" s="27"/>
      <c r="N80" s="2"/>
      <c r="O80" s="27">
        <f t="shared" si="1"/>
        <v>0</v>
      </c>
      <c r="P80" s="27"/>
      <c r="Q80" s="27"/>
      <c r="R80" s="20"/>
    </row>
    <row r="81" spans="1:38" ht="15" customHeight="1">
      <c r="A81" s="24"/>
      <c r="B81" s="23" t="s">
        <v>68</v>
      </c>
      <c r="C81" s="24" t="s">
        <v>18</v>
      </c>
      <c r="D81" s="23"/>
      <c r="E81" s="23" t="s">
        <v>50</v>
      </c>
      <c r="F81" s="23" t="s">
        <v>292</v>
      </c>
      <c r="G81" s="23" t="s">
        <v>124</v>
      </c>
      <c r="H81" s="25">
        <v>0</v>
      </c>
      <c r="I81" s="2"/>
      <c r="J81" s="26"/>
      <c r="K81" s="27">
        <f t="shared" si="3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ht="15" customHeight="1">
      <c r="A82" s="24">
        <v>38</v>
      </c>
      <c r="B82" s="23" t="s">
        <v>127</v>
      </c>
      <c r="C82" s="24" t="s">
        <v>18</v>
      </c>
      <c r="D82" s="23"/>
      <c r="E82" s="23" t="s">
        <v>41</v>
      </c>
      <c r="F82" s="23" t="s">
        <v>120</v>
      </c>
      <c r="G82" s="23" t="s">
        <v>142</v>
      </c>
      <c r="H82" s="25">
        <v>2</v>
      </c>
      <c r="I82" s="2"/>
      <c r="J82" s="26"/>
      <c r="K82" s="27">
        <f t="shared" si="3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ht="15" customHeight="1">
      <c r="A83" s="24"/>
      <c r="B83" s="23" t="s">
        <v>127</v>
      </c>
      <c r="C83" s="24" t="s">
        <v>18</v>
      </c>
      <c r="D83" s="23"/>
      <c r="E83" s="23" t="s">
        <v>50</v>
      </c>
      <c r="F83" s="23" t="s">
        <v>295</v>
      </c>
      <c r="G83" s="23" t="s">
        <v>136</v>
      </c>
      <c r="H83" s="25">
        <v>7</v>
      </c>
      <c r="I83" s="2"/>
      <c r="J83" s="26"/>
      <c r="K83" s="27">
        <f t="shared" si="3"/>
        <v>0</v>
      </c>
      <c r="L83" s="27"/>
      <c r="M83" s="27"/>
      <c r="N83" s="2"/>
      <c r="O83" s="27">
        <f t="shared" si="1"/>
        <v>0</v>
      </c>
      <c r="P83" s="27"/>
      <c r="Q83" s="27"/>
      <c r="R83" s="20"/>
    </row>
    <row r="84" spans="1:38" ht="15" customHeight="1">
      <c r="A84" s="24"/>
      <c r="B84" s="23" t="s">
        <v>127</v>
      </c>
      <c r="C84" s="24" t="s">
        <v>18</v>
      </c>
      <c r="D84" s="23"/>
      <c r="E84" s="23" t="s">
        <v>50</v>
      </c>
      <c r="F84" s="23" t="s">
        <v>294</v>
      </c>
      <c r="G84" s="23" t="s">
        <v>124</v>
      </c>
      <c r="H84" s="25">
        <v>1</v>
      </c>
      <c r="I84" s="2"/>
      <c r="J84" s="26"/>
      <c r="K84" s="27">
        <f t="shared" si="3"/>
        <v>0</v>
      </c>
      <c r="L84" s="27"/>
      <c r="M84" s="27"/>
      <c r="N84" s="2"/>
      <c r="O84" s="27">
        <f t="shared" ref="O84:O161" si="4">P84+Q84</f>
        <v>0</v>
      </c>
      <c r="P84" s="27"/>
      <c r="Q84" s="27"/>
      <c r="R84" s="20"/>
    </row>
    <row r="85" spans="1:38" s="7" customFormat="1" ht="15" customHeight="1">
      <c r="A85" s="74">
        <v>39</v>
      </c>
      <c r="B85" s="77" t="s">
        <v>69</v>
      </c>
      <c r="C85" s="74" t="s">
        <v>18</v>
      </c>
      <c r="D85" s="77"/>
      <c r="E85" s="77" t="s">
        <v>19</v>
      </c>
      <c r="F85" s="77" t="s">
        <v>292</v>
      </c>
      <c r="G85" s="77" t="s">
        <v>142</v>
      </c>
      <c r="H85" s="25">
        <v>0</v>
      </c>
      <c r="I85" s="1"/>
      <c r="J85" s="26"/>
      <c r="K85" s="27">
        <f t="shared" si="3"/>
        <v>0</v>
      </c>
      <c r="L85" s="27"/>
      <c r="M85" s="27"/>
      <c r="N85" s="1"/>
      <c r="O85" s="27">
        <f t="shared" si="4"/>
        <v>0</v>
      </c>
      <c r="P85" s="27"/>
      <c r="Q85" s="27"/>
      <c r="R85" s="20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 spans="1:38" s="7" customFormat="1" ht="15.75" customHeight="1">
      <c r="A86" s="74">
        <v>40</v>
      </c>
      <c r="B86" s="77" t="s">
        <v>70</v>
      </c>
      <c r="C86" s="74" t="s">
        <v>18</v>
      </c>
      <c r="D86" s="77"/>
      <c r="E86" s="77" t="s">
        <v>19</v>
      </c>
      <c r="F86" s="77" t="s">
        <v>292</v>
      </c>
      <c r="G86" s="77" t="s">
        <v>142</v>
      </c>
      <c r="H86" s="25">
        <v>2</v>
      </c>
      <c r="I86" s="1">
        <v>1</v>
      </c>
      <c r="J86" s="26">
        <v>1</v>
      </c>
      <c r="K86" s="27">
        <f t="shared" si="3"/>
        <v>0</v>
      </c>
      <c r="L86" s="27"/>
      <c r="M86" s="27"/>
      <c r="N86" s="1">
        <v>3</v>
      </c>
      <c r="O86" s="27">
        <f t="shared" si="4"/>
        <v>0</v>
      </c>
      <c r="P86" s="27"/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ht="15" customHeight="1">
      <c r="A87" s="74">
        <v>41</v>
      </c>
      <c r="B87" s="77" t="s">
        <v>71</v>
      </c>
      <c r="C87" s="74" t="s">
        <v>18</v>
      </c>
      <c r="D87" s="77"/>
      <c r="E87" s="77" t="s">
        <v>32</v>
      </c>
      <c r="F87" s="77" t="s">
        <v>292</v>
      </c>
      <c r="G87" s="77" t="s">
        <v>121</v>
      </c>
      <c r="H87" s="25">
        <v>0</v>
      </c>
      <c r="I87" s="1"/>
      <c r="J87" s="26"/>
      <c r="K87" s="27">
        <f t="shared" si="3"/>
        <v>0</v>
      </c>
      <c r="L87" s="27"/>
      <c r="M87" s="27"/>
      <c r="N87" s="1"/>
      <c r="O87" s="27">
        <f t="shared" si="4"/>
        <v>0</v>
      </c>
      <c r="P87" s="27"/>
      <c r="Q87" s="27"/>
      <c r="R87" s="20"/>
    </row>
    <row r="88" spans="1:38" ht="15" customHeight="1">
      <c r="A88" s="24"/>
      <c r="B88" s="23" t="s">
        <v>71</v>
      </c>
      <c r="C88" s="24" t="s">
        <v>18</v>
      </c>
      <c r="D88" s="23"/>
      <c r="E88" s="23" t="s">
        <v>32</v>
      </c>
      <c r="F88" s="23" t="s">
        <v>292</v>
      </c>
      <c r="G88" s="23" t="s">
        <v>122</v>
      </c>
      <c r="H88" s="25">
        <v>0</v>
      </c>
      <c r="I88" s="1"/>
      <c r="J88" s="26"/>
      <c r="K88" s="27">
        <f t="shared" si="3"/>
        <v>0</v>
      </c>
      <c r="L88" s="27"/>
      <c r="M88" s="27"/>
      <c r="N88" s="1"/>
      <c r="O88" s="27">
        <f t="shared" si="4"/>
        <v>0</v>
      </c>
      <c r="P88" s="27"/>
      <c r="Q88" s="27"/>
      <c r="R88" s="20"/>
    </row>
    <row r="89" spans="1:38" ht="15" customHeight="1">
      <c r="A89" s="24">
        <v>42</v>
      </c>
      <c r="B89" s="23" t="s">
        <v>72</v>
      </c>
      <c r="C89" s="24" t="s">
        <v>18</v>
      </c>
      <c r="D89" s="23"/>
      <c r="E89" s="23" t="s">
        <v>19</v>
      </c>
      <c r="F89" s="23" t="s">
        <v>268</v>
      </c>
      <c r="G89" s="23" t="s">
        <v>142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20"/>
    </row>
    <row r="90" spans="1:38" ht="15" customHeight="1">
      <c r="A90" s="24"/>
      <c r="B90" s="23" t="s">
        <v>72</v>
      </c>
      <c r="C90" s="24" t="s">
        <v>18</v>
      </c>
      <c r="D90" s="23"/>
      <c r="E90" s="23" t="s">
        <v>19</v>
      </c>
      <c r="F90" s="23" t="s">
        <v>292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43</v>
      </c>
      <c r="B91" s="23" t="s">
        <v>73</v>
      </c>
      <c r="C91" s="24" t="s">
        <v>18</v>
      </c>
      <c r="D91" s="23"/>
      <c r="E91" s="23" t="s">
        <v>19</v>
      </c>
      <c r="F91" s="23"/>
      <c r="G91" s="23" t="s">
        <v>142</v>
      </c>
      <c r="H91" s="25">
        <v>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7" customFormat="1" ht="15" customHeight="1">
      <c r="A92" s="24">
        <v>44</v>
      </c>
      <c r="B92" s="23" t="s">
        <v>74</v>
      </c>
      <c r="C92" s="24" t="s">
        <v>18</v>
      </c>
      <c r="D92" s="23"/>
      <c r="E92" s="23" t="s">
        <v>19</v>
      </c>
      <c r="F92" s="23" t="s">
        <v>120</v>
      </c>
      <c r="G92" s="23" t="s">
        <v>142</v>
      </c>
      <c r="H92" s="25">
        <v>4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ht="15" customHeight="1">
      <c r="A93" s="24">
        <v>45</v>
      </c>
      <c r="B93" s="23" t="s">
        <v>75</v>
      </c>
      <c r="C93" s="24" t="s">
        <v>18</v>
      </c>
      <c r="D93" s="23"/>
      <c r="E93" s="23" t="s">
        <v>76</v>
      </c>
      <c r="F93" s="23" t="s">
        <v>120</v>
      </c>
      <c r="G93" s="23" t="s">
        <v>142</v>
      </c>
      <c r="H93" s="25">
        <v>5</v>
      </c>
      <c r="I93" s="1"/>
      <c r="J93" s="26"/>
      <c r="K93" s="27">
        <f t="shared" si="3"/>
        <v>0</v>
      </c>
      <c r="L93" s="27"/>
      <c r="M93" s="27"/>
      <c r="N93" s="1">
        <v>7</v>
      </c>
      <c r="O93" s="27">
        <f>P93+Q93</f>
        <v>0</v>
      </c>
      <c r="P93" s="27"/>
      <c r="Q93" s="27"/>
      <c r="R93" s="20"/>
    </row>
    <row r="94" spans="1:38" ht="13.15" customHeight="1">
      <c r="A94" s="24"/>
      <c r="B94" s="23" t="s">
        <v>75</v>
      </c>
      <c r="C94" s="24" t="s">
        <v>18</v>
      </c>
      <c r="D94" s="23"/>
      <c r="E94" s="23" t="s">
        <v>76</v>
      </c>
      <c r="F94" s="23" t="s">
        <v>120</v>
      </c>
      <c r="G94" s="23" t="s">
        <v>131</v>
      </c>
      <c r="H94" s="25">
        <v>0</v>
      </c>
      <c r="I94" s="1"/>
      <c r="J94" s="26"/>
      <c r="K94" s="27">
        <f t="shared" si="3"/>
        <v>0</v>
      </c>
      <c r="L94" s="27"/>
      <c r="M94" s="27"/>
      <c r="N94" s="1">
        <v>5</v>
      </c>
      <c r="O94" s="27">
        <v>0</v>
      </c>
      <c r="P94" s="27"/>
      <c r="Q94" s="27"/>
      <c r="R94" s="20"/>
    </row>
    <row r="95" spans="1:38" ht="15" customHeight="1">
      <c r="A95" s="24"/>
      <c r="B95" s="23" t="s">
        <v>140</v>
      </c>
      <c r="C95" s="24" t="s">
        <v>18</v>
      </c>
      <c r="D95" s="23"/>
      <c r="E95" s="23" t="s">
        <v>76</v>
      </c>
      <c r="F95" s="23" t="s">
        <v>120</v>
      </c>
      <c r="G95" s="23" t="s">
        <v>136</v>
      </c>
      <c r="H95" s="25">
        <v>0</v>
      </c>
      <c r="I95" s="2"/>
      <c r="J95" s="26"/>
      <c r="K95" s="27">
        <f t="shared" si="3"/>
        <v>0</v>
      </c>
      <c r="L95" s="27"/>
      <c r="M95" s="27"/>
      <c r="N95" s="2"/>
      <c r="O95" s="27">
        <f>P95+Q95</f>
        <v>0</v>
      </c>
      <c r="P95" s="27"/>
      <c r="Q95" s="27"/>
      <c r="R95" s="20"/>
    </row>
    <row r="96" spans="1:38" s="17" customFormat="1" ht="15" customHeight="1">
      <c r="A96" s="24">
        <v>46</v>
      </c>
      <c r="B96" s="23" t="s">
        <v>267</v>
      </c>
      <c r="C96" s="24" t="s">
        <v>18</v>
      </c>
      <c r="D96" s="23"/>
      <c r="E96" s="23" t="s">
        <v>19</v>
      </c>
      <c r="F96" s="23" t="s">
        <v>268</v>
      </c>
      <c r="G96" s="23" t="s">
        <v>142</v>
      </c>
      <c r="H96" s="25">
        <v>0</v>
      </c>
      <c r="I96" s="2"/>
      <c r="J96" s="26"/>
      <c r="K96" s="27">
        <f t="shared" si="3"/>
        <v>0</v>
      </c>
      <c r="L96" s="27"/>
      <c r="M96" s="27"/>
      <c r="N96" s="2"/>
      <c r="O96" s="27">
        <f>P96+Q96</f>
        <v>0</v>
      </c>
      <c r="P96" s="27"/>
      <c r="Q96" s="27"/>
      <c r="R96" s="20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:38" s="17" customFormat="1" ht="15" customHeight="1">
      <c r="A97" s="24"/>
      <c r="B97" s="23" t="s">
        <v>267</v>
      </c>
      <c r="C97" s="24" t="s">
        <v>18</v>
      </c>
      <c r="D97" s="23"/>
      <c r="E97" s="23" t="s">
        <v>19</v>
      </c>
      <c r="F97" s="23" t="s">
        <v>120</v>
      </c>
      <c r="G97" s="23" t="s">
        <v>131</v>
      </c>
      <c r="H97" s="25">
        <v>2</v>
      </c>
      <c r="I97" s="2"/>
      <c r="J97" s="26"/>
      <c r="K97" s="27">
        <f t="shared" si="3"/>
        <v>0</v>
      </c>
      <c r="L97" s="27"/>
      <c r="M97" s="27"/>
      <c r="N97" s="2"/>
      <c r="O97" s="27"/>
      <c r="P97" s="27"/>
      <c r="Q97" s="27"/>
      <c r="R97" s="20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:38" ht="15" customHeight="1">
      <c r="A98" s="24"/>
      <c r="B98" s="23" t="s">
        <v>267</v>
      </c>
      <c r="C98" s="24" t="s">
        <v>18</v>
      </c>
      <c r="D98" s="23"/>
      <c r="E98" s="23" t="s">
        <v>19</v>
      </c>
      <c r="F98" s="23" t="s">
        <v>123</v>
      </c>
      <c r="G98" s="23" t="s">
        <v>122</v>
      </c>
      <c r="H98" s="25">
        <v>1</v>
      </c>
      <c r="I98" s="2"/>
      <c r="J98" s="26"/>
      <c r="K98" s="27">
        <f t="shared" si="3"/>
        <v>0</v>
      </c>
      <c r="L98" s="27"/>
      <c r="M98" s="27"/>
      <c r="N98" s="2"/>
      <c r="O98" s="27"/>
      <c r="P98" s="27"/>
      <c r="Q98" s="27"/>
      <c r="R98" s="20"/>
    </row>
    <row r="99" spans="1:38" ht="30.75" customHeight="1">
      <c r="A99" s="24">
        <v>47</v>
      </c>
      <c r="B99" s="23" t="s">
        <v>78</v>
      </c>
      <c r="C99" s="24" t="s">
        <v>18</v>
      </c>
      <c r="D99" s="23" t="s">
        <v>276</v>
      </c>
      <c r="E99" s="23" t="s">
        <v>19</v>
      </c>
      <c r="F99" s="23" t="s">
        <v>123</v>
      </c>
      <c r="G99" s="23" t="s">
        <v>142</v>
      </c>
      <c r="H99" s="25">
        <v>10</v>
      </c>
      <c r="I99" s="1">
        <v>4</v>
      </c>
      <c r="J99" s="26">
        <v>4</v>
      </c>
      <c r="K99" s="27">
        <f t="shared" si="3"/>
        <v>0</v>
      </c>
      <c r="L99" s="27"/>
      <c r="M99" s="27"/>
      <c r="N99" s="1">
        <v>1</v>
      </c>
      <c r="O99" s="27">
        <f t="shared" si="4"/>
        <v>0</v>
      </c>
      <c r="P99" s="27"/>
      <c r="Q99" s="27"/>
      <c r="R99" s="20"/>
    </row>
    <row r="100" spans="1:38" s="7" customFormat="1" ht="15" customHeight="1">
      <c r="A100" s="24"/>
      <c r="B100" s="23" t="s">
        <v>78</v>
      </c>
      <c r="C100" s="24" t="s">
        <v>18</v>
      </c>
      <c r="D100" s="23"/>
      <c r="E100" s="23" t="s">
        <v>19</v>
      </c>
      <c r="F100" s="23" t="s">
        <v>120</v>
      </c>
      <c r="G100" s="23" t="s">
        <v>131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ht="15" customHeight="1">
      <c r="A101" s="24"/>
      <c r="B101" s="23" t="s">
        <v>78</v>
      </c>
      <c r="C101" s="24" t="s">
        <v>18</v>
      </c>
      <c r="D101" s="23"/>
      <c r="E101" s="23" t="s">
        <v>19</v>
      </c>
      <c r="F101" s="23" t="s">
        <v>120</v>
      </c>
      <c r="G101" s="23" t="s">
        <v>122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ht="15" customHeight="1">
      <c r="A102" s="24">
        <v>48</v>
      </c>
      <c r="B102" s="23" t="s">
        <v>79</v>
      </c>
      <c r="C102" s="24" t="s">
        <v>18</v>
      </c>
      <c r="D102" s="23"/>
      <c r="E102" s="23" t="s">
        <v>19</v>
      </c>
      <c r="F102" s="23"/>
      <c r="G102" s="23" t="s">
        <v>142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49</v>
      </c>
      <c r="B103" s="23" t="s">
        <v>80</v>
      </c>
      <c r="C103" s="24" t="s">
        <v>18</v>
      </c>
      <c r="D103" s="23"/>
      <c r="E103" s="23" t="s">
        <v>19</v>
      </c>
      <c r="F103" s="23" t="s">
        <v>120</v>
      </c>
      <c r="G103" s="23" t="s">
        <v>142</v>
      </c>
      <c r="H103" s="25">
        <v>5</v>
      </c>
      <c r="I103" s="1">
        <v>2</v>
      </c>
      <c r="J103" s="26">
        <v>2</v>
      </c>
      <c r="K103" s="27">
        <f t="shared" si="3"/>
        <v>0</v>
      </c>
      <c r="L103" s="27"/>
      <c r="M103" s="27"/>
      <c r="N103" s="1">
        <v>1</v>
      </c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/>
      <c r="B104" s="23" t="s">
        <v>80</v>
      </c>
      <c r="C104" s="24" t="s">
        <v>18</v>
      </c>
      <c r="D104" s="23"/>
      <c r="E104" s="23" t="s">
        <v>19</v>
      </c>
      <c r="F104" s="23" t="s">
        <v>120</v>
      </c>
      <c r="G104" s="23" t="s">
        <v>122</v>
      </c>
      <c r="H104" s="25">
        <v>0</v>
      </c>
      <c r="I104" s="1"/>
      <c r="J104" s="26"/>
      <c r="K104" s="27">
        <f t="shared" si="3"/>
        <v>0</v>
      </c>
      <c r="L104" s="27"/>
      <c r="M104" s="27"/>
      <c r="N104" s="1"/>
      <c r="O104" s="27">
        <f t="shared" si="4"/>
        <v>0</v>
      </c>
      <c r="P104" s="27"/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ht="15" customHeight="1">
      <c r="A105" s="24">
        <v>50</v>
      </c>
      <c r="B105" s="23" t="s">
        <v>81</v>
      </c>
      <c r="C105" s="24" t="s">
        <v>18</v>
      </c>
      <c r="D105" s="23"/>
      <c r="E105" s="23" t="s">
        <v>19</v>
      </c>
      <c r="F105" s="23" t="s">
        <v>120</v>
      </c>
      <c r="G105" s="23" t="s">
        <v>142</v>
      </c>
      <c r="H105" s="25">
        <v>0</v>
      </c>
      <c r="I105" s="1"/>
      <c r="J105" s="26"/>
      <c r="K105" s="27">
        <f t="shared" si="3"/>
        <v>0</v>
      </c>
      <c r="L105" s="27"/>
      <c r="M105" s="27"/>
      <c r="N105" s="1">
        <v>1</v>
      </c>
      <c r="O105" s="27">
        <f t="shared" si="4"/>
        <v>0</v>
      </c>
      <c r="P105" s="27"/>
      <c r="Q105" s="27"/>
      <c r="R105" s="20"/>
    </row>
    <row r="106" spans="1:38" ht="15" customHeight="1">
      <c r="A106" s="24"/>
      <c r="B106" s="23" t="s">
        <v>81</v>
      </c>
      <c r="C106" s="24" t="s">
        <v>18</v>
      </c>
      <c r="D106" s="23"/>
      <c r="E106" s="23" t="s">
        <v>19</v>
      </c>
      <c r="F106" s="23" t="s">
        <v>292</v>
      </c>
      <c r="G106" s="23" t="s">
        <v>122</v>
      </c>
      <c r="H106" s="25">
        <v>0</v>
      </c>
      <c r="I106" s="1"/>
      <c r="J106" s="26"/>
      <c r="K106" s="27"/>
      <c r="L106" s="27"/>
      <c r="M106" s="27"/>
      <c r="N106" s="1"/>
      <c r="O106" s="27"/>
      <c r="P106" s="27"/>
      <c r="Q106" s="27"/>
      <c r="R106" s="20"/>
    </row>
    <row r="107" spans="1:38" s="7" customFormat="1" ht="15" customHeight="1">
      <c r="A107" s="24">
        <v>51</v>
      </c>
      <c r="B107" s="23" t="s">
        <v>82</v>
      </c>
      <c r="C107" s="24" t="s">
        <v>18</v>
      </c>
      <c r="D107" s="23"/>
      <c r="E107" s="23" t="s">
        <v>19</v>
      </c>
      <c r="F107" s="23" t="s">
        <v>295</v>
      </c>
      <c r="G107" s="23" t="s">
        <v>142</v>
      </c>
      <c r="H107" s="25">
        <v>5</v>
      </c>
      <c r="I107" s="1">
        <v>6</v>
      </c>
      <c r="J107" s="26">
        <v>6</v>
      </c>
      <c r="K107" s="27">
        <f t="shared" si="3"/>
        <v>0</v>
      </c>
      <c r="L107" s="27"/>
      <c r="M107" s="27"/>
      <c r="N107" s="1">
        <v>1</v>
      </c>
      <c r="O107" s="27">
        <f t="shared" si="4"/>
        <v>0</v>
      </c>
      <c r="P107" s="27"/>
      <c r="Q107" s="27"/>
      <c r="R107" s="20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 spans="1:38" s="7" customFormat="1" ht="15" customHeight="1">
      <c r="A108" s="24"/>
      <c r="B108" s="23" t="s">
        <v>82</v>
      </c>
      <c r="C108" s="24" t="s">
        <v>18</v>
      </c>
      <c r="D108" s="23"/>
      <c r="E108" s="23" t="s">
        <v>19</v>
      </c>
      <c r="F108" s="23" t="s">
        <v>295</v>
      </c>
      <c r="G108" s="23" t="s">
        <v>122</v>
      </c>
      <c r="H108" s="25">
        <v>0</v>
      </c>
      <c r="I108" s="1"/>
      <c r="J108" s="26"/>
      <c r="K108" s="27">
        <f t="shared" si="3"/>
        <v>0</v>
      </c>
      <c r="L108" s="27"/>
      <c r="M108" s="27"/>
      <c r="N108" s="1"/>
      <c r="O108" s="27">
        <f t="shared" si="4"/>
        <v>0</v>
      </c>
      <c r="P108" s="27"/>
      <c r="Q108" s="27"/>
      <c r="R108" s="20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 spans="1:38" ht="14.45" customHeight="1">
      <c r="A109" s="24">
        <v>52</v>
      </c>
      <c r="B109" s="23" t="s">
        <v>83</v>
      </c>
      <c r="C109" s="24" t="s">
        <v>30</v>
      </c>
      <c r="D109" s="23" t="s">
        <v>184</v>
      </c>
      <c r="E109" s="23" t="s">
        <v>19</v>
      </c>
      <c r="F109" s="23" t="s">
        <v>123</v>
      </c>
      <c r="G109" s="23" t="s">
        <v>142</v>
      </c>
      <c r="H109" s="25">
        <v>19</v>
      </c>
      <c r="I109" s="1">
        <v>8</v>
      </c>
      <c r="J109" s="26">
        <v>8</v>
      </c>
      <c r="K109" s="27">
        <f t="shared" si="3"/>
        <v>0</v>
      </c>
      <c r="L109" s="27"/>
      <c r="M109" s="27"/>
      <c r="N109" s="1">
        <v>8</v>
      </c>
      <c r="O109" s="27">
        <f t="shared" si="4"/>
        <v>0</v>
      </c>
      <c r="P109" s="27"/>
      <c r="Q109" s="27"/>
      <c r="R109" s="20"/>
    </row>
    <row r="110" spans="1:38" ht="14.45" customHeight="1">
      <c r="A110" s="24">
        <v>53</v>
      </c>
      <c r="B110" s="23" t="s">
        <v>303</v>
      </c>
      <c r="C110" s="24" t="s">
        <v>18</v>
      </c>
      <c r="D110" s="23"/>
      <c r="E110" s="23" t="s">
        <v>304</v>
      </c>
      <c r="F110" s="23"/>
      <c r="G110" s="23" t="s">
        <v>131</v>
      </c>
      <c r="H110" s="25">
        <v>4</v>
      </c>
      <c r="I110" s="1"/>
      <c r="J110" s="26"/>
      <c r="K110" s="27"/>
      <c r="L110" s="27"/>
      <c r="M110" s="27"/>
      <c r="N110" s="1"/>
      <c r="O110" s="27"/>
      <c r="P110" s="27"/>
      <c r="Q110" s="27"/>
      <c r="R110" s="20"/>
    </row>
    <row r="111" spans="1:38" s="7" customFormat="1" ht="15" customHeight="1">
      <c r="A111" s="24">
        <v>54</v>
      </c>
      <c r="B111" s="23" t="s">
        <v>84</v>
      </c>
      <c r="C111" s="24" t="s">
        <v>18</v>
      </c>
      <c r="D111" s="23"/>
      <c r="E111" s="23" t="s">
        <v>19</v>
      </c>
      <c r="F111" s="23" t="s">
        <v>123</v>
      </c>
      <c r="G111" s="23" t="s">
        <v>142</v>
      </c>
      <c r="H111" s="25">
        <v>6</v>
      </c>
      <c r="I111" s="1">
        <v>2</v>
      </c>
      <c r="J111" s="26">
        <v>2</v>
      </c>
      <c r="K111" s="27">
        <f t="shared" si="3"/>
        <v>0</v>
      </c>
      <c r="L111" s="27"/>
      <c r="M111" s="27"/>
      <c r="N111" s="1">
        <v>7</v>
      </c>
      <c r="O111" s="27">
        <f t="shared" si="4"/>
        <v>0</v>
      </c>
      <c r="P111" s="27"/>
      <c r="Q111" s="27"/>
      <c r="R111" s="20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</row>
    <row r="112" spans="1:38" ht="15" customHeight="1">
      <c r="A112" s="24"/>
      <c r="B112" s="23" t="s">
        <v>84</v>
      </c>
      <c r="C112" s="24" t="s">
        <v>18</v>
      </c>
      <c r="D112" s="23"/>
      <c r="E112" s="23" t="s">
        <v>19</v>
      </c>
      <c r="F112" s="23" t="s">
        <v>123</v>
      </c>
      <c r="G112" s="23" t="s">
        <v>122</v>
      </c>
      <c r="H112" s="25">
        <v>0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20"/>
    </row>
    <row r="113" spans="1:38" ht="15" customHeight="1">
      <c r="A113" s="24">
        <v>55</v>
      </c>
      <c r="B113" s="23" t="s">
        <v>85</v>
      </c>
      <c r="C113" s="24" t="s">
        <v>18</v>
      </c>
      <c r="D113" s="23"/>
      <c r="E113" s="23" t="s">
        <v>77</v>
      </c>
      <c r="F113" s="23" t="s">
        <v>120</v>
      </c>
      <c r="G113" s="23" t="s">
        <v>142</v>
      </c>
      <c r="H113" s="25">
        <v>6</v>
      </c>
      <c r="I113" s="1"/>
      <c r="J113" s="26"/>
      <c r="K113" s="27">
        <f t="shared" si="3"/>
        <v>0</v>
      </c>
      <c r="L113" s="27"/>
      <c r="M113" s="27"/>
      <c r="N113" s="1">
        <v>7</v>
      </c>
      <c r="O113" s="27">
        <f t="shared" si="4"/>
        <v>0</v>
      </c>
      <c r="P113" s="27"/>
      <c r="Q113" s="27"/>
      <c r="R113" s="20"/>
    </row>
    <row r="114" spans="1:38" ht="15" customHeight="1">
      <c r="A114" s="24"/>
      <c r="B114" s="23" t="s">
        <v>85</v>
      </c>
      <c r="C114" s="24" t="s">
        <v>18</v>
      </c>
      <c r="D114" s="23"/>
      <c r="E114" s="23" t="s">
        <v>301</v>
      </c>
      <c r="F114" s="23" t="s">
        <v>123</v>
      </c>
      <c r="G114" s="23" t="s">
        <v>131</v>
      </c>
      <c r="H114" s="25">
        <v>7</v>
      </c>
      <c r="I114" s="1"/>
      <c r="J114" s="26"/>
      <c r="K114" s="27">
        <f t="shared" si="3"/>
        <v>0</v>
      </c>
      <c r="L114" s="27"/>
      <c r="M114" s="27"/>
      <c r="N114" s="1">
        <v>2</v>
      </c>
      <c r="O114" s="27">
        <f t="shared" si="4"/>
        <v>0</v>
      </c>
      <c r="P114" s="27"/>
      <c r="Q114" s="27"/>
      <c r="R114" s="20"/>
    </row>
    <row r="115" spans="1:38" ht="15" customHeight="1">
      <c r="A115" s="24">
        <v>56</v>
      </c>
      <c r="B115" s="23" t="s">
        <v>86</v>
      </c>
      <c r="C115" s="24" t="s">
        <v>18</v>
      </c>
      <c r="D115" s="23"/>
      <c r="E115" s="23" t="s">
        <v>77</v>
      </c>
      <c r="F115" s="23" t="s">
        <v>295</v>
      </c>
      <c r="G115" s="23" t="s">
        <v>142</v>
      </c>
      <c r="H115" s="25">
        <v>1</v>
      </c>
      <c r="I115" s="1"/>
      <c r="J115" s="26"/>
      <c r="K115" s="27">
        <f t="shared" si="3"/>
        <v>0</v>
      </c>
      <c r="L115" s="27"/>
      <c r="M115" s="27"/>
      <c r="N115" s="1">
        <v>1</v>
      </c>
      <c r="O115" s="27">
        <f t="shared" si="4"/>
        <v>0</v>
      </c>
      <c r="P115" s="27"/>
      <c r="Q115" s="27"/>
      <c r="R115" s="20"/>
    </row>
    <row r="116" spans="1:38" ht="15" customHeight="1">
      <c r="A116" s="24"/>
      <c r="B116" s="23" t="s">
        <v>86</v>
      </c>
      <c r="C116" s="24" t="s">
        <v>18</v>
      </c>
      <c r="D116" s="23"/>
      <c r="E116" s="23" t="s">
        <v>301</v>
      </c>
      <c r="F116" s="23" t="s">
        <v>120</v>
      </c>
      <c r="G116" s="23" t="s">
        <v>131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</row>
    <row r="117" spans="1:38" ht="28.9" customHeight="1">
      <c r="A117" s="29">
        <v>57</v>
      </c>
      <c r="B117" s="30" t="s">
        <v>87</v>
      </c>
      <c r="C117" s="29" t="s">
        <v>52</v>
      </c>
      <c r="D117" s="30" t="s">
        <v>88</v>
      </c>
      <c r="E117" s="30" t="s">
        <v>19</v>
      </c>
      <c r="F117" s="30" t="s">
        <v>292</v>
      </c>
      <c r="G117" s="30" t="s">
        <v>142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20"/>
    </row>
    <row r="118" spans="1:38" ht="29.25" customHeight="1">
      <c r="A118" s="29"/>
      <c r="B118" s="30" t="s">
        <v>87</v>
      </c>
      <c r="C118" s="29" t="s">
        <v>52</v>
      </c>
      <c r="D118" s="30" t="s">
        <v>88</v>
      </c>
      <c r="E118" s="30" t="s">
        <v>19</v>
      </c>
      <c r="F118" s="30" t="s">
        <v>123</v>
      </c>
      <c r="G118" s="30" t="s">
        <v>122</v>
      </c>
      <c r="H118" s="25">
        <v>2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ht="26.25" customHeight="1">
      <c r="A119" s="24">
        <v>58</v>
      </c>
      <c r="B119" s="23" t="s">
        <v>89</v>
      </c>
      <c r="C119" s="24" t="s">
        <v>18</v>
      </c>
      <c r="D119" s="23"/>
      <c r="E119" s="23" t="s">
        <v>19</v>
      </c>
      <c r="F119" s="23" t="s">
        <v>292</v>
      </c>
      <c r="G119" s="23" t="s">
        <v>142</v>
      </c>
      <c r="H119" s="25">
        <v>2</v>
      </c>
      <c r="I119" s="1"/>
      <c r="J119" s="26"/>
      <c r="K119" s="27">
        <f t="shared" si="3"/>
        <v>0</v>
      </c>
      <c r="L119" s="27"/>
      <c r="M119" s="27"/>
      <c r="N119" s="1">
        <v>3</v>
      </c>
      <c r="O119" s="27">
        <f t="shared" si="4"/>
        <v>0</v>
      </c>
      <c r="P119" s="27"/>
      <c r="Q119" s="27"/>
      <c r="R119" s="20"/>
    </row>
    <row r="120" spans="1:38" s="7" customFormat="1" ht="15" customHeight="1">
      <c r="A120" s="24"/>
      <c r="B120" s="23" t="s">
        <v>89</v>
      </c>
      <c r="C120" s="24" t="s">
        <v>18</v>
      </c>
      <c r="D120" s="23"/>
      <c r="E120" s="23" t="s">
        <v>19</v>
      </c>
      <c r="F120" s="23" t="s">
        <v>120</v>
      </c>
      <c r="G120" s="23" t="s">
        <v>122</v>
      </c>
      <c r="H120" s="25">
        <v>1</v>
      </c>
      <c r="I120" s="1"/>
      <c r="J120" s="26"/>
      <c r="K120" s="27">
        <f t="shared" si="3"/>
        <v>0</v>
      </c>
      <c r="L120" s="27"/>
      <c r="M120" s="27"/>
      <c r="N120" s="1">
        <v>1</v>
      </c>
      <c r="O120" s="27">
        <f t="shared" si="4"/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ht="15" customHeight="1">
      <c r="A121" s="24">
        <v>59</v>
      </c>
      <c r="B121" s="23" t="s">
        <v>90</v>
      </c>
      <c r="C121" s="24" t="s">
        <v>18</v>
      </c>
      <c r="D121" s="23"/>
      <c r="E121" s="23" t="s">
        <v>19</v>
      </c>
      <c r="F121" s="23" t="s">
        <v>292</v>
      </c>
      <c r="G121" s="23" t="s">
        <v>142</v>
      </c>
      <c r="H121" s="25">
        <v>2</v>
      </c>
      <c r="I121" s="1"/>
      <c r="J121" s="26"/>
      <c r="K121" s="27">
        <f t="shared" si="3"/>
        <v>0</v>
      </c>
      <c r="L121" s="27"/>
      <c r="M121" s="27"/>
      <c r="N121" s="1">
        <v>1</v>
      </c>
      <c r="O121" s="27">
        <f t="shared" si="4"/>
        <v>0</v>
      </c>
      <c r="P121" s="27"/>
      <c r="Q121" s="27"/>
      <c r="R121" s="20"/>
    </row>
    <row r="122" spans="1:38" s="7" customFormat="1" ht="15" customHeight="1">
      <c r="A122" s="24">
        <v>60</v>
      </c>
      <c r="B122" s="23" t="s">
        <v>91</v>
      </c>
      <c r="C122" s="24" t="s">
        <v>18</v>
      </c>
      <c r="D122" s="23"/>
      <c r="E122" s="23" t="s">
        <v>92</v>
      </c>
      <c r="F122" s="23" t="s">
        <v>292</v>
      </c>
      <c r="G122" s="23" t="s">
        <v>142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>
        <v>10</v>
      </c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s="7" customFormat="1" ht="15" customHeight="1">
      <c r="A123" s="24"/>
      <c r="B123" s="23" t="s">
        <v>91</v>
      </c>
      <c r="C123" s="24" t="s">
        <v>18</v>
      </c>
      <c r="D123" s="23"/>
      <c r="E123" s="23" t="s">
        <v>92</v>
      </c>
      <c r="F123" s="23" t="s">
        <v>123</v>
      </c>
      <c r="G123" s="23" t="s">
        <v>136</v>
      </c>
      <c r="H123" s="25">
        <v>0</v>
      </c>
      <c r="I123" s="2"/>
      <c r="J123" s="26"/>
      <c r="K123" s="27">
        <f t="shared" si="3"/>
        <v>0</v>
      </c>
      <c r="L123" s="27"/>
      <c r="M123" s="27"/>
      <c r="N123" s="2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ht="15" customHeight="1">
      <c r="A124" s="24">
        <v>61</v>
      </c>
      <c r="B124" s="23" t="s">
        <v>93</v>
      </c>
      <c r="C124" s="24" t="s">
        <v>18</v>
      </c>
      <c r="D124" s="23"/>
      <c r="E124" s="23" t="s">
        <v>19</v>
      </c>
      <c r="F124" s="23" t="s">
        <v>123</v>
      </c>
      <c r="G124" s="23" t="s">
        <v>142</v>
      </c>
      <c r="H124" s="25">
        <v>0</v>
      </c>
      <c r="I124" s="2"/>
      <c r="J124" s="26"/>
      <c r="K124" s="27">
        <f t="shared" si="3"/>
        <v>0</v>
      </c>
      <c r="L124" s="27"/>
      <c r="M124" s="27"/>
      <c r="N124" s="2">
        <v>1</v>
      </c>
      <c r="O124" s="27">
        <f t="shared" si="4"/>
        <v>0</v>
      </c>
      <c r="P124" s="27"/>
      <c r="Q124" s="27"/>
      <c r="R124" s="20"/>
    </row>
    <row r="125" spans="1:38" s="17" customFormat="1" ht="15" customHeight="1">
      <c r="A125" s="24"/>
      <c r="B125" s="23" t="s">
        <v>93</v>
      </c>
      <c r="C125" s="24" t="s">
        <v>18</v>
      </c>
      <c r="D125" s="23"/>
      <c r="E125" s="23" t="s">
        <v>19</v>
      </c>
      <c r="F125" s="23" t="s">
        <v>120</v>
      </c>
      <c r="G125" s="23" t="s">
        <v>131</v>
      </c>
      <c r="H125" s="25">
        <v>0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20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</row>
    <row r="126" spans="1:38" ht="15" customHeight="1">
      <c r="A126" s="24"/>
      <c r="B126" s="23" t="s">
        <v>93</v>
      </c>
      <c r="C126" s="24" t="s">
        <v>18</v>
      </c>
      <c r="D126" s="23"/>
      <c r="E126" s="23"/>
      <c r="F126" s="23" t="s">
        <v>268</v>
      </c>
      <c r="G126" s="23" t="s">
        <v>122</v>
      </c>
      <c r="H126" s="25">
        <v>4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</row>
    <row r="127" spans="1:38" ht="15" customHeight="1">
      <c r="A127" s="24">
        <v>62</v>
      </c>
      <c r="B127" s="23" t="s">
        <v>281</v>
      </c>
      <c r="C127" s="24" t="s">
        <v>18</v>
      </c>
      <c r="D127" s="23"/>
      <c r="E127" s="23" t="s">
        <v>19</v>
      </c>
      <c r="F127" s="23" t="s">
        <v>123</v>
      </c>
      <c r="G127" s="23" t="s">
        <v>142</v>
      </c>
      <c r="H127" s="25">
        <v>3</v>
      </c>
      <c r="I127" s="1">
        <v>1</v>
      </c>
      <c r="J127" s="26">
        <v>1</v>
      </c>
      <c r="K127" s="27">
        <f t="shared" si="3"/>
        <v>0</v>
      </c>
      <c r="L127" s="27"/>
      <c r="M127" s="27"/>
      <c r="N127" s="1">
        <v>1</v>
      </c>
      <c r="O127" s="27">
        <f t="shared" si="4"/>
        <v>0</v>
      </c>
      <c r="P127" s="27"/>
      <c r="Q127" s="27"/>
      <c r="R127" s="20"/>
    </row>
    <row r="128" spans="1:38" ht="15" customHeight="1">
      <c r="A128" s="24"/>
      <c r="B128" s="23" t="s">
        <v>281</v>
      </c>
      <c r="C128" s="24" t="s">
        <v>18</v>
      </c>
      <c r="D128" s="23"/>
      <c r="E128" s="23" t="s">
        <v>19</v>
      </c>
      <c r="F128" s="23" t="s">
        <v>285</v>
      </c>
      <c r="G128" s="23" t="s">
        <v>131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>
        <v>1</v>
      </c>
      <c r="O128" s="27"/>
      <c r="P128" s="27"/>
      <c r="Q128" s="27"/>
      <c r="R128" s="20"/>
    </row>
    <row r="129" spans="1:38" ht="15" customHeight="1">
      <c r="A129" s="24"/>
      <c r="B129" s="23" t="s">
        <v>281</v>
      </c>
      <c r="C129" s="24" t="s">
        <v>18</v>
      </c>
      <c r="D129" s="23"/>
      <c r="E129" s="23" t="s">
        <v>19</v>
      </c>
      <c r="F129" s="23" t="s">
        <v>120</v>
      </c>
      <c r="G129" s="23" t="s">
        <v>122</v>
      </c>
      <c r="H129" s="25">
        <v>6</v>
      </c>
      <c r="I129" s="1"/>
      <c r="J129" s="26"/>
      <c r="K129" s="27">
        <f t="shared" si="3"/>
        <v>0</v>
      </c>
      <c r="L129" s="27"/>
      <c r="M129" s="27"/>
      <c r="N129" s="1"/>
      <c r="O129" s="27">
        <f t="shared" si="4"/>
        <v>0</v>
      </c>
      <c r="P129" s="27"/>
      <c r="Q129" s="27"/>
      <c r="R129" s="20"/>
    </row>
    <row r="130" spans="1:38" ht="15" customHeight="1">
      <c r="A130" s="24">
        <v>63</v>
      </c>
      <c r="B130" s="23" t="s">
        <v>94</v>
      </c>
      <c r="C130" s="24" t="s">
        <v>18</v>
      </c>
      <c r="D130" s="23"/>
      <c r="E130" s="23" t="s">
        <v>95</v>
      </c>
      <c r="F130" s="23" t="s">
        <v>292</v>
      </c>
      <c r="G130" s="23" t="s">
        <v>142</v>
      </c>
      <c r="H130" s="25">
        <v>8</v>
      </c>
      <c r="I130" s="1">
        <v>1</v>
      </c>
      <c r="J130" s="26">
        <v>1</v>
      </c>
      <c r="K130" s="27">
        <f t="shared" si="3"/>
        <v>0</v>
      </c>
      <c r="L130" s="27"/>
      <c r="M130" s="27"/>
      <c r="N130" s="1">
        <v>5</v>
      </c>
      <c r="O130" s="27">
        <f t="shared" si="4"/>
        <v>0</v>
      </c>
      <c r="P130" s="27"/>
      <c r="Q130" s="27"/>
      <c r="R130" s="20"/>
    </row>
    <row r="131" spans="1:38" s="7" customFormat="1" ht="15" customHeight="1">
      <c r="A131" s="24"/>
      <c r="B131" s="23" t="s">
        <v>128</v>
      </c>
      <c r="C131" s="24" t="s">
        <v>18</v>
      </c>
      <c r="D131" s="23"/>
      <c r="E131" s="23" t="s">
        <v>95</v>
      </c>
      <c r="F131" s="23" t="s">
        <v>123</v>
      </c>
      <c r="G131" s="23" t="s">
        <v>124</v>
      </c>
      <c r="H131" s="25">
        <v>1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 spans="1:38" ht="15" customHeight="1">
      <c r="A132" s="24"/>
      <c r="B132" s="23" t="s">
        <v>128</v>
      </c>
      <c r="C132" s="24" t="s">
        <v>18</v>
      </c>
      <c r="D132" s="23"/>
      <c r="E132" s="23" t="s">
        <v>95</v>
      </c>
      <c r="F132" s="23" t="s">
        <v>123</v>
      </c>
      <c r="G132" s="23" t="s">
        <v>131</v>
      </c>
      <c r="H132" s="25">
        <v>0</v>
      </c>
      <c r="I132" s="2"/>
      <c r="J132" s="26"/>
      <c r="K132" s="27">
        <f t="shared" si="3"/>
        <v>0</v>
      </c>
      <c r="L132" s="27"/>
      <c r="M132" s="27"/>
      <c r="N132" s="2"/>
      <c r="O132" s="27">
        <f t="shared" si="4"/>
        <v>0</v>
      </c>
      <c r="P132" s="27"/>
      <c r="Q132" s="27"/>
      <c r="R132" s="20"/>
    </row>
    <row r="133" spans="1:38" ht="15" customHeight="1">
      <c r="A133" s="24">
        <v>64</v>
      </c>
      <c r="B133" s="23" t="s">
        <v>96</v>
      </c>
      <c r="C133" s="24" t="s">
        <v>18</v>
      </c>
      <c r="D133" s="23"/>
      <c r="E133" s="23" t="s">
        <v>19</v>
      </c>
      <c r="F133" s="23" t="s">
        <v>120</v>
      </c>
      <c r="G133" s="23" t="s">
        <v>142</v>
      </c>
      <c r="H133" s="25">
        <v>3</v>
      </c>
      <c r="I133" s="1"/>
      <c r="J133" s="26"/>
      <c r="K133" s="27">
        <f t="shared" si="3"/>
        <v>0</v>
      </c>
      <c r="L133" s="27"/>
      <c r="M133" s="27"/>
      <c r="N133" s="1">
        <v>1</v>
      </c>
      <c r="O133" s="27">
        <f t="shared" si="4"/>
        <v>0</v>
      </c>
      <c r="P133" s="27"/>
      <c r="Q133" s="27"/>
      <c r="R133" s="20"/>
    </row>
    <row r="134" spans="1:38" ht="15" customHeight="1">
      <c r="A134" s="24"/>
      <c r="B134" s="23" t="s">
        <v>96</v>
      </c>
      <c r="C134" s="24" t="s">
        <v>18</v>
      </c>
      <c r="D134" s="23"/>
      <c r="E134" s="23" t="s">
        <v>19</v>
      </c>
      <c r="F134" s="23" t="s">
        <v>292</v>
      </c>
      <c r="G134" s="23" t="s">
        <v>131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/>
      <c r="O134" s="27">
        <f t="shared" si="4"/>
        <v>0</v>
      </c>
      <c r="P134" s="27"/>
      <c r="Q134" s="27"/>
      <c r="R134" s="20"/>
    </row>
    <row r="135" spans="1:38" ht="15" customHeight="1">
      <c r="A135" s="24"/>
      <c r="B135" s="23" t="s">
        <v>96</v>
      </c>
      <c r="C135" s="24" t="s">
        <v>18</v>
      </c>
      <c r="D135" s="23"/>
      <c r="E135" s="23" t="s">
        <v>19</v>
      </c>
      <c r="F135" s="23" t="s">
        <v>292</v>
      </c>
      <c r="G135" s="23" t="s">
        <v>122</v>
      </c>
      <c r="H135" s="25">
        <v>3</v>
      </c>
      <c r="I135" s="1"/>
      <c r="J135" s="26"/>
      <c r="K135" s="27">
        <f t="shared" si="3"/>
        <v>0</v>
      </c>
      <c r="L135" s="27"/>
      <c r="M135" s="27"/>
      <c r="N135" s="1">
        <v>1</v>
      </c>
      <c r="O135" s="27">
        <f t="shared" si="4"/>
        <v>0</v>
      </c>
      <c r="P135" s="27"/>
      <c r="Q135" s="27"/>
      <c r="R135" s="20"/>
    </row>
    <row r="136" spans="1:38" ht="15" customHeight="1">
      <c r="A136" s="24"/>
      <c r="B136" s="23" t="s">
        <v>96</v>
      </c>
      <c r="C136" s="24" t="s">
        <v>18</v>
      </c>
      <c r="D136" s="23"/>
      <c r="E136" s="22" t="s">
        <v>19</v>
      </c>
      <c r="F136" s="23" t="s">
        <v>292</v>
      </c>
      <c r="G136" s="22" t="s">
        <v>136</v>
      </c>
      <c r="H136" s="45">
        <v>1</v>
      </c>
      <c r="I136" s="1"/>
      <c r="J136" s="26"/>
      <c r="K136" s="27">
        <f t="shared" si="3"/>
        <v>0</v>
      </c>
      <c r="L136" s="27"/>
      <c r="M136" s="27"/>
      <c r="N136" s="1"/>
      <c r="O136" s="27">
        <f t="shared" si="4"/>
        <v>0</v>
      </c>
      <c r="P136" s="27"/>
      <c r="Q136" s="27"/>
      <c r="R136" s="20"/>
    </row>
    <row r="137" spans="1:38" ht="15" customHeight="1">
      <c r="A137" s="24">
        <v>65</v>
      </c>
      <c r="B137" s="23" t="s">
        <v>97</v>
      </c>
      <c r="C137" s="24" t="s">
        <v>18</v>
      </c>
      <c r="D137" s="23"/>
      <c r="E137" s="23" t="s">
        <v>19</v>
      </c>
      <c r="F137" s="23" t="s">
        <v>120</v>
      </c>
      <c r="G137" s="23" t="s">
        <v>142</v>
      </c>
      <c r="H137" s="25">
        <v>3</v>
      </c>
      <c r="I137" s="1"/>
      <c r="J137" s="26"/>
      <c r="K137" s="27">
        <f t="shared" si="3"/>
        <v>0</v>
      </c>
      <c r="L137" s="27"/>
      <c r="M137" s="27"/>
      <c r="N137" s="1"/>
      <c r="O137" s="27">
        <f t="shared" si="4"/>
        <v>0</v>
      </c>
      <c r="P137" s="27"/>
      <c r="Q137" s="27"/>
      <c r="R137" s="20"/>
    </row>
    <row r="138" spans="1:38" ht="15" customHeight="1">
      <c r="A138" s="24">
        <v>66</v>
      </c>
      <c r="B138" s="23" t="s">
        <v>98</v>
      </c>
      <c r="C138" s="24" t="s">
        <v>18</v>
      </c>
      <c r="D138" s="23"/>
      <c r="E138" s="23" t="s">
        <v>19</v>
      </c>
      <c r="F138" s="23" t="s">
        <v>120</v>
      </c>
      <c r="G138" s="23" t="s">
        <v>142</v>
      </c>
      <c r="H138" s="25">
        <v>4</v>
      </c>
      <c r="I138" s="1">
        <v>4</v>
      </c>
      <c r="J138" s="26">
        <v>4</v>
      </c>
      <c r="K138" s="27">
        <f t="shared" si="3"/>
        <v>0</v>
      </c>
      <c r="L138" s="27"/>
      <c r="M138" s="27"/>
      <c r="N138" s="1">
        <v>3</v>
      </c>
      <c r="O138" s="27">
        <f t="shared" si="4"/>
        <v>0</v>
      </c>
      <c r="P138" s="27"/>
      <c r="Q138" s="27"/>
      <c r="R138" s="20"/>
    </row>
    <row r="139" spans="1:38" ht="15" customHeight="1">
      <c r="A139" s="24">
        <v>67</v>
      </c>
      <c r="B139" s="23" t="s">
        <v>99</v>
      </c>
      <c r="C139" s="24" t="s">
        <v>18</v>
      </c>
      <c r="D139" s="23"/>
      <c r="E139" s="23" t="s">
        <v>19</v>
      </c>
      <c r="F139" s="23" t="s">
        <v>120</v>
      </c>
      <c r="G139" s="23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/>
      <c r="O139" s="27">
        <f t="shared" si="4"/>
        <v>0</v>
      </c>
      <c r="P139" s="27"/>
      <c r="Q139" s="27"/>
      <c r="R139" s="20"/>
    </row>
    <row r="140" spans="1:38" ht="24.6" customHeight="1">
      <c r="A140" s="29">
        <v>68</v>
      </c>
      <c r="B140" s="30" t="s">
        <v>100</v>
      </c>
      <c r="C140" s="29" t="s">
        <v>30</v>
      </c>
      <c r="D140" s="30" t="s">
        <v>101</v>
      </c>
      <c r="E140" s="30" t="s">
        <v>19</v>
      </c>
      <c r="F140" s="23" t="s">
        <v>120</v>
      </c>
      <c r="G140" s="30" t="s">
        <v>142</v>
      </c>
      <c r="H140" s="25">
        <v>0</v>
      </c>
      <c r="I140" s="1"/>
      <c r="J140" s="26"/>
      <c r="K140" s="27">
        <f t="shared" si="3"/>
        <v>0</v>
      </c>
      <c r="L140" s="27"/>
      <c r="M140" s="27"/>
      <c r="N140" s="1"/>
      <c r="O140" s="27">
        <f t="shared" si="4"/>
        <v>0</v>
      </c>
      <c r="P140" s="27"/>
      <c r="Q140" s="27"/>
      <c r="R140" s="20"/>
    </row>
    <row r="141" spans="1:38" s="7" customFormat="1" ht="29.25" customHeight="1">
      <c r="A141" s="29"/>
      <c r="B141" s="30" t="s">
        <v>100</v>
      </c>
      <c r="C141" s="29" t="s">
        <v>30</v>
      </c>
      <c r="D141" s="30" t="s">
        <v>101</v>
      </c>
      <c r="E141" s="30" t="s">
        <v>19</v>
      </c>
      <c r="F141" s="30" t="s">
        <v>292</v>
      </c>
      <c r="G141" s="30" t="s">
        <v>122</v>
      </c>
      <c r="H141" s="25">
        <v>0</v>
      </c>
      <c r="I141" s="1"/>
      <c r="J141" s="26"/>
      <c r="K141" s="27">
        <f t="shared" si="3"/>
        <v>0</v>
      </c>
      <c r="L141" s="27"/>
      <c r="M141" s="27"/>
      <c r="N141" s="1"/>
      <c r="O141" s="27">
        <f t="shared" si="4"/>
        <v>0</v>
      </c>
      <c r="P141" s="27"/>
      <c r="Q141" s="27"/>
      <c r="R141" s="20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 spans="1:38" ht="26.25" customHeight="1">
      <c r="A142" s="46">
        <v>69</v>
      </c>
      <c r="B142" s="60" t="s">
        <v>144</v>
      </c>
      <c r="C142" s="46" t="s">
        <v>18</v>
      </c>
      <c r="D142" s="60"/>
      <c r="E142" s="60" t="s">
        <v>104</v>
      </c>
      <c r="F142" s="60" t="s">
        <v>120</v>
      </c>
      <c r="G142" s="60" t="s">
        <v>142</v>
      </c>
      <c r="H142" s="61">
        <v>0</v>
      </c>
      <c r="I142" s="1"/>
      <c r="J142" s="26"/>
      <c r="K142" s="27">
        <f t="shared" si="3"/>
        <v>0</v>
      </c>
      <c r="L142" s="63"/>
      <c r="M142" s="63"/>
      <c r="N142" s="1"/>
      <c r="O142" s="63">
        <f t="shared" si="4"/>
        <v>0</v>
      </c>
      <c r="P142" s="63"/>
      <c r="Q142" s="63"/>
      <c r="R142" s="20"/>
    </row>
    <row r="143" spans="1:38" ht="15.75" customHeight="1">
      <c r="A143" s="24">
        <v>70</v>
      </c>
      <c r="B143" s="23" t="s">
        <v>102</v>
      </c>
      <c r="C143" s="24" t="s">
        <v>18</v>
      </c>
      <c r="D143" s="23"/>
      <c r="E143" s="23" t="s">
        <v>19</v>
      </c>
      <c r="F143" s="60" t="s">
        <v>120</v>
      </c>
      <c r="G143" s="23" t="s">
        <v>142</v>
      </c>
      <c r="H143" s="25">
        <v>0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>
        <v>71</v>
      </c>
      <c r="B144" s="23" t="s">
        <v>103</v>
      </c>
      <c r="C144" s="24" t="s">
        <v>18</v>
      </c>
      <c r="D144" s="23"/>
      <c r="E144" s="23" t="s">
        <v>19</v>
      </c>
      <c r="F144" s="60" t="s">
        <v>120</v>
      </c>
      <c r="G144" s="23" t="s">
        <v>142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/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103</v>
      </c>
      <c r="C145" s="24" t="s">
        <v>18</v>
      </c>
      <c r="D145" s="23"/>
      <c r="E145" s="23" t="s">
        <v>19</v>
      </c>
      <c r="F145" s="23" t="s">
        <v>298</v>
      </c>
      <c r="G145" s="23" t="s">
        <v>122</v>
      </c>
      <c r="H145" s="25">
        <v>3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0</v>
      </c>
      <c r="P145" s="27"/>
      <c r="Q145" s="27"/>
      <c r="R145" s="20"/>
    </row>
    <row r="146" spans="1:38" ht="15" customHeight="1">
      <c r="A146" s="24">
        <v>72</v>
      </c>
      <c r="B146" s="23" t="s">
        <v>302</v>
      </c>
      <c r="C146" s="24" t="s">
        <v>305</v>
      </c>
      <c r="D146" s="23"/>
      <c r="E146" s="23" t="s">
        <v>19</v>
      </c>
      <c r="F146" s="23" t="s">
        <v>268</v>
      </c>
      <c r="G146" s="23" t="s">
        <v>122</v>
      </c>
      <c r="H146" s="25">
        <v>4</v>
      </c>
      <c r="I146" s="1"/>
      <c r="J146" s="26"/>
      <c r="K146" s="27"/>
      <c r="L146" s="27"/>
      <c r="M146" s="27"/>
      <c r="N146" s="1"/>
      <c r="O146" s="27"/>
      <c r="P146" s="27"/>
      <c r="Q146" s="27"/>
      <c r="R146" s="20"/>
    </row>
    <row r="147" spans="1:38" ht="24.75" customHeight="1">
      <c r="A147" s="29">
        <v>73</v>
      </c>
      <c r="B147" s="30" t="s">
        <v>105</v>
      </c>
      <c r="C147" s="29" t="s">
        <v>30</v>
      </c>
      <c r="D147" s="30" t="s">
        <v>106</v>
      </c>
      <c r="E147" s="30" t="s">
        <v>19</v>
      </c>
      <c r="F147" s="30" t="s">
        <v>123</v>
      </c>
      <c r="G147" s="30" t="s">
        <v>142</v>
      </c>
      <c r="H147" s="25">
        <v>3</v>
      </c>
      <c r="I147" s="1"/>
      <c r="J147" s="26"/>
      <c r="K147" s="27">
        <f t="shared" si="3"/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</row>
    <row r="148" spans="1:38" s="7" customFormat="1" ht="38.450000000000003" customHeight="1">
      <c r="A148" s="29">
        <v>74</v>
      </c>
      <c r="B148" s="30" t="s">
        <v>265</v>
      </c>
      <c r="C148" s="29" t="s">
        <v>18</v>
      </c>
      <c r="D148" s="30"/>
      <c r="E148" s="30" t="s">
        <v>19</v>
      </c>
      <c r="F148" s="30" t="s">
        <v>123</v>
      </c>
      <c r="G148" s="30" t="s">
        <v>142</v>
      </c>
      <c r="H148" s="25">
        <v>0</v>
      </c>
      <c r="I148" s="1"/>
      <c r="J148" s="26"/>
      <c r="K148" s="27">
        <f t="shared" ref="K148:K169" si="5">L148+M148</f>
        <v>0</v>
      </c>
      <c r="L148" s="27"/>
      <c r="M148" s="27"/>
      <c r="N148" s="1"/>
      <c r="O148" s="27">
        <f t="shared" si="4"/>
        <v>0</v>
      </c>
      <c r="P148" s="27"/>
      <c r="Q148" s="27"/>
      <c r="R148" s="20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 spans="1:38" s="7" customFormat="1" ht="38.450000000000003" customHeight="1">
      <c r="A149" s="24">
        <v>75</v>
      </c>
      <c r="B149" s="23" t="s">
        <v>107</v>
      </c>
      <c r="C149" s="24" t="s">
        <v>18</v>
      </c>
      <c r="D149" s="23"/>
      <c r="E149" s="23" t="s">
        <v>41</v>
      </c>
      <c r="F149" s="30" t="s">
        <v>123</v>
      </c>
      <c r="G149" s="23" t="s">
        <v>142</v>
      </c>
      <c r="H149" s="25">
        <v>0</v>
      </c>
      <c r="I149" s="1"/>
      <c r="J149" s="26"/>
      <c r="K149" s="27">
        <f t="shared" si="5"/>
        <v>0</v>
      </c>
      <c r="L149" s="27"/>
      <c r="M149" s="27"/>
      <c r="N149" s="1"/>
      <c r="O149" s="27">
        <f t="shared" si="4"/>
        <v>0</v>
      </c>
      <c r="P149" s="27"/>
      <c r="Q149" s="27"/>
      <c r="R149" s="20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</row>
    <row r="150" spans="1:38" ht="15.75" customHeight="1">
      <c r="A150" s="24"/>
      <c r="B150" s="23" t="s">
        <v>107</v>
      </c>
      <c r="C150" s="24" t="s">
        <v>18</v>
      </c>
      <c r="D150" s="23"/>
      <c r="E150" s="23" t="s">
        <v>41</v>
      </c>
      <c r="F150" s="23" t="s">
        <v>295</v>
      </c>
      <c r="G150" s="23" t="s">
        <v>136</v>
      </c>
      <c r="H150" s="25">
        <v>4</v>
      </c>
      <c r="I150" s="2"/>
      <c r="J150" s="26"/>
      <c r="K150" s="27">
        <f t="shared" si="5"/>
        <v>0</v>
      </c>
      <c r="L150" s="27"/>
      <c r="M150" s="27"/>
      <c r="N150" s="2"/>
      <c r="O150" s="27">
        <f t="shared" si="4"/>
        <v>0</v>
      </c>
      <c r="P150" s="27"/>
      <c r="Q150" s="27"/>
      <c r="R150" s="20"/>
    </row>
    <row r="151" spans="1:38" ht="16.5" customHeight="1">
      <c r="A151" s="24">
        <v>76</v>
      </c>
      <c r="B151" s="23" t="s">
        <v>108</v>
      </c>
      <c r="C151" s="24" t="s">
        <v>18</v>
      </c>
      <c r="D151" s="23"/>
      <c r="E151" s="23" t="s">
        <v>19</v>
      </c>
      <c r="F151" s="23" t="s">
        <v>292</v>
      </c>
      <c r="G151" s="23" t="s">
        <v>142</v>
      </c>
      <c r="H151" s="25">
        <v>9</v>
      </c>
      <c r="I151" s="1">
        <v>2</v>
      </c>
      <c r="J151" s="26">
        <v>2</v>
      </c>
      <c r="K151" s="27">
        <f t="shared" si="5"/>
        <v>0</v>
      </c>
      <c r="L151" s="27"/>
      <c r="M151" s="27"/>
      <c r="N151" s="1">
        <v>3</v>
      </c>
      <c r="O151" s="27">
        <f t="shared" si="4"/>
        <v>0</v>
      </c>
      <c r="P151" s="27"/>
      <c r="Q151" s="27"/>
      <c r="R151" s="20"/>
    </row>
    <row r="152" spans="1:38" s="7" customFormat="1" ht="16.5" customHeight="1">
      <c r="A152" s="24"/>
      <c r="B152" s="23" t="s">
        <v>108</v>
      </c>
      <c r="C152" s="24" t="s">
        <v>18</v>
      </c>
      <c r="D152" s="23"/>
      <c r="E152" s="23" t="s">
        <v>19</v>
      </c>
      <c r="F152" s="23" t="s">
        <v>0</v>
      </c>
      <c r="G152" s="23" t="s">
        <v>122</v>
      </c>
      <c r="H152" s="25">
        <v>1</v>
      </c>
      <c r="I152" s="1"/>
      <c r="J152" s="26"/>
      <c r="K152" s="27">
        <f t="shared" si="5"/>
        <v>0</v>
      </c>
      <c r="L152" s="27"/>
      <c r="M152" s="27"/>
      <c r="N152" s="1">
        <v>2</v>
      </c>
      <c r="O152" s="27"/>
      <c r="P152" s="27"/>
      <c r="Q152" s="27"/>
      <c r="R152" s="20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 spans="1:38" s="7" customFormat="1" ht="16.5" customHeight="1">
      <c r="A153" s="24">
        <v>77</v>
      </c>
      <c r="B153" s="23" t="s">
        <v>146</v>
      </c>
      <c r="C153" s="24" t="s">
        <v>18</v>
      </c>
      <c r="D153" s="23"/>
      <c r="E153" s="23" t="s">
        <v>104</v>
      </c>
      <c r="F153" s="23" t="s">
        <v>291</v>
      </c>
      <c r="G153" s="23" t="s">
        <v>142</v>
      </c>
      <c r="H153" s="25">
        <v>0</v>
      </c>
      <c r="I153" s="1"/>
      <c r="J153" s="26"/>
      <c r="K153" s="27">
        <f t="shared" si="5"/>
        <v>0</v>
      </c>
      <c r="L153" s="27"/>
      <c r="M153" s="27"/>
      <c r="N153" s="1">
        <v>1</v>
      </c>
      <c r="O153" s="27">
        <f t="shared" si="4"/>
        <v>0</v>
      </c>
      <c r="P153" s="27"/>
      <c r="Q153" s="27"/>
      <c r="R153" s="20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 spans="1:38" ht="23.45" customHeight="1">
      <c r="A154" s="29">
        <v>78</v>
      </c>
      <c r="B154" s="30" t="s">
        <v>109</v>
      </c>
      <c r="C154" s="29" t="s">
        <v>52</v>
      </c>
      <c r="D154" s="30" t="s">
        <v>110</v>
      </c>
      <c r="E154" s="30" t="s">
        <v>19</v>
      </c>
      <c r="F154" s="30" t="s">
        <v>123</v>
      </c>
      <c r="G154" s="30" t="s">
        <v>142</v>
      </c>
      <c r="H154" s="25">
        <v>11</v>
      </c>
      <c r="I154" s="1">
        <v>6</v>
      </c>
      <c r="J154" s="26">
        <v>6</v>
      </c>
      <c r="K154" s="27">
        <f t="shared" si="5"/>
        <v>0</v>
      </c>
      <c r="L154" s="27"/>
      <c r="M154" s="27"/>
      <c r="N154" s="1">
        <v>6</v>
      </c>
      <c r="O154" s="27">
        <f t="shared" si="4"/>
        <v>0</v>
      </c>
      <c r="P154" s="27"/>
      <c r="Q154" s="27"/>
      <c r="R154" s="20"/>
    </row>
    <row r="155" spans="1:38" s="7" customFormat="1" ht="27" customHeight="1">
      <c r="A155" s="29"/>
      <c r="B155" s="30" t="s">
        <v>109</v>
      </c>
      <c r="C155" s="29" t="s">
        <v>52</v>
      </c>
      <c r="D155" s="30" t="s">
        <v>110</v>
      </c>
      <c r="E155" s="30" t="s">
        <v>19</v>
      </c>
      <c r="F155" s="30" t="s">
        <v>292</v>
      </c>
      <c r="G155" s="30" t="s">
        <v>122</v>
      </c>
      <c r="H155" s="25">
        <v>6</v>
      </c>
      <c r="I155" s="1"/>
      <c r="J155" s="26"/>
      <c r="K155" s="27">
        <f t="shared" si="5"/>
        <v>0</v>
      </c>
      <c r="L155" s="27"/>
      <c r="M155" s="27"/>
      <c r="N155" s="1">
        <v>6</v>
      </c>
      <c r="O155" s="27">
        <f t="shared" si="4"/>
        <v>0</v>
      </c>
      <c r="P155" s="27"/>
      <c r="Q155" s="27"/>
      <c r="R155" s="20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</row>
    <row r="156" spans="1:38" ht="27.75" customHeight="1">
      <c r="A156" s="24">
        <v>79</v>
      </c>
      <c r="B156" s="23" t="s">
        <v>111</v>
      </c>
      <c r="C156" s="24" t="s">
        <v>18</v>
      </c>
      <c r="D156" s="23"/>
      <c r="E156" s="23" t="s">
        <v>112</v>
      </c>
      <c r="F156" s="23" t="s">
        <v>268</v>
      </c>
      <c r="G156" s="23" t="s">
        <v>142</v>
      </c>
      <c r="H156" s="25">
        <v>1</v>
      </c>
      <c r="I156" s="1"/>
      <c r="J156" s="26"/>
      <c r="K156" s="27">
        <f t="shared" si="5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6.5" customHeight="1">
      <c r="A157" s="24"/>
      <c r="B157" s="23" t="s">
        <v>111</v>
      </c>
      <c r="C157" s="24" t="s">
        <v>18</v>
      </c>
      <c r="D157" s="23"/>
      <c r="E157" s="23" t="s">
        <v>112</v>
      </c>
      <c r="F157" s="23" t="s">
        <v>123</v>
      </c>
      <c r="G157" s="23" t="s">
        <v>136</v>
      </c>
      <c r="H157" s="25">
        <v>2</v>
      </c>
      <c r="I157" s="2"/>
      <c r="J157" s="26"/>
      <c r="K157" s="27">
        <f t="shared" si="5"/>
        <v>0</v>
      </c>
      <c r="L157" s="27"/>
      <c r="M157" s="27"/>
      <c r="N157" s="2"/>
      <c r="O157" s="27">
        <f t="shared" si="4"/>
        <v>0</v>
      </c>
      <c r="P157" s="27"/>
      <c r="Q157" s="27"/>
      <c r="R157" s="20"/>
    </row>
    <row r="158" spans="1:38" ht="16.5" customHeight="1">
      <c r="A158" s="24">
        <v>80</v>
      </c>
      <c r="B158" s="23" t="s">
        <v>113</v>
      </c>
      <c r="C158" s="24" t="s">
        <v>18</v>
      </c>
      <c r="D158" s="23"/>
      <c r="E158" s="23" t="s">
        <v>19</v>
      </c>
      <c r="F158" s="23" t="s">
        <v>120</v>
      </c>
      <c r="G158" s="23" t="s">
        <v>142</v>
      </c>
      <c r="H158" s="25">
        <v>0</v>
      </c>
      <c r="I158" s="1"/>
      <c r="J158" s="26"/>
      <c r="K158" s="27">
        <f t="shared" si="5"/>
        <v>0</v>
      </c>
      <c r="L158" s="27"/>
      <c r="M158" s="27"/>
      <c r="N158" s="1">
        <v>1</v>
      </c>
      <c r="O158" s="27">
        <f t="shared" si="4"/>
        <v>0</v>
      </c>
      <c r="P158" s="27"/>
      <c r="Q158" s="27"/>
      <c r="R158" s="20"/>
    </row>
    <row r="159" spans="1:38" ht="18.75" customHeight="1">
      <c r="A159" s="24"/>
      <c r="B159" s="23" t="s">
        <v>113</v>
      </c>
      <c r="C159" s="24" t="s">
        <v>18</v>
      </c>
      <c r="D159" s="23"/>
      <c r="E159" s="23" t="s">
        <v>19</v>
      </c>
      <c r="F159" s="23" t="s">
        <v>292</v>
      </c>
      <c r="G159" s="23" t="s">
        <v>122</v>
      </c>
      <c r="H159" s="25">
        <v>3</v>
      </c>
      <c r="I159" s="1"/>
      <c r="J159" s="26"/>
      <c r="K159" s="27">
        <f t="shared" si="5"/>
        <v>0</v>
      </c>
      <c r="L159" s="27"/>
      <c r="M159" s="27"/>
      <c r="N159" s="1">
        <v>4</v>
      </c>
      <c r="O159" s="27">
        <f t="shared" si="4"/>
        <v>0</v>
      </c>
      <c r="P159" s="27"/>
      <c r="Q159" s="27"/>
      <c r="R159" s="20"/>
    </row>
    <row r="160" spans="1:38" ht="12.6" customHeight="1">
      <c r="A160" s="24">
        <v>81</v>
      </c>
      <c r="B160" s="23" t="s">
        <v>114</v>
      </c>
      <c r="C160" s="24" t="s">
        <v>18</v>
      </c>
      <c r="D160" s="23"/>
      <c r="E160" s="23" t="s">
        <v>41</v>
      </c>
      <c r="F160" s="23" t="s">
        <v>268</v>
      </c>
      <c r="G160" s="23" t="s">
        <v>142</v>
      </c>
      <c r="H160" s="25">
        <v>1</v>
      </c>
      <c r="I160" s="1"/>
      <c r="J160" s="26"/>
      <c r="K160" s="27">
        <f t="shared" si="5"/>
        <v>0</v>
      </c>
      <c r="L160" s="27"/>
      <c r="M160" s="27"/>
      <c r="N160" s="1"/>
      <c r="O160" s="27">
        <f t="shared" si="4"/>
        <v>0</v>
      </c>
      <c r="P160" s="27"/>
      <c r="Q160" s="27"/>
      <c r="R160" s="20"/>
    </row>
    <row r="161" spans="1:38" ht="16.899999999999999" customHeight="1">
      <c r="A161" s="24"/>
      <c r="B161" s="23" t="s">
        <v>141</v>
      </c>
      <c r="C161" s="24" t="s">
        <v>18</v>
      </c>
      <c r="D161" s="23"/>
      <c r="E161" s="23" t="s">
        <v>41</v>
      </c>
      <c r="F161" s="23" t="s">
        <v>295</v>
      </c>
      <c r="G161" s="23" t="s">
        <v>136</v>
      </c>
      <c r="H161" s="25">
        <v>2</v>
      </c>
      <c r="I161" s="2"/>
      <c r="J161" s="26"/>
      <c r="K161" s="27">
        <f t="shared" si="5"/>
        <v>0</v>
      </c>
      <c r="L161" s="27"/>
      <c r="M161" s="27"/>
      <c r="N161" s="2"/>
      <c r="O161" s="27">
        <f t="shared" si="4"/>
        <v>0</v>
      </c>
      <c r="P161" s="27"/>
      <c r="Q161" s="27"/>
      <c r="R161" s="20"/>
    </row>
    <row r="162" spans="1:38" ht="24.6" customHeight="1">
      <c r="A162" s="29">
        <v>82</v>
      </c>
      <c r="B162" s="30" t="s">
        <v>115</v>
      </c>
      <c r="C162" s="29" t="s">
        <v>52</v>
      </c>
      <c r="D162" s="30" t="s">
        <v>110</v>
      </c>
      <c r="E162" s="30" t="s">
        <v>19</v>
      </c>
      <c r="F162" s="30"/>
      <c r="G162" s="30" t="s">
        <v>142</v>
      </c>
      <c r="H162" s="25">
        <v>0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ref="O162:O166" si="6">P162+Q162</f>
        <v>0</v>
      </c>
      <c r="P162" s="27"/>
      <c r="Q162" s="27"/>
      <c r="R162" s="20"/>
    </row>
    <row r="163" spans="1:38" ht="32.25" customHeight="1">
      <c r="A163" s="29"/>
      <c r="B163" s="30" t="s">
        <v>115</v>
      </c>
      <c r="C163" s="29" t="s">
        <v>52</v>
      </c>
      <c r="D163" s="30" t="s">
        <v>110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44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38" ht="34.9" customHeight="1">
      <c r="A164" s="29">
        <v>83</v>
      </c>
      <c r="B164" s="30" t="s">
        <v>116</v>
      </c>
      <c r="C164" s="29" t="s">
        <v>52</v>
      </c>
      <c r="D164" s="30" t="s">
        <v>117</v>
      </c>
      <c r="E164" s="30" t="s">
        <v>19</v>
      </c>
      <c r="F164" s="30" t="s">
        <v>299</v>
      </c>
      <c r="G164" s="30" t="s">
        <v>142</v>
      </c>
      <c r="H164" s="25">
        <v>7</v>
      </c>
      <c r="I164" s="1"/>
      <c r="J164" s="44"/>
      <c r="K164" s="27">
        <f t="shared" si="5"/>
        <v>0</v>
      </c>
      <c r="L164" s="27"/>
      <c r="M164" s="27"/>
      <c r="N164" s="1"/>
      <c r="O164" s="27">
        <f t="shared" si="6"/>
        <v>0</v>
      </c>
      <c r="P164" s="27"/>
      <c r="Q164" s="27"/>
      <c r="R164" s="20"/>
    </row>
    <row r="165" spans="1:38" ht="28.5" customHeight="1">
      <c r="A165" s="29">
        <v>84</v>
      </c>
      <c r="B165" s="30" t="s">
        <v>209</v>
      </c>
      <c r="C165" s="29" t="s">
        <v>18</v>
      </c>
      <c r="D165" s="30"/>
      <c r="E165" s="30" t="s">
        <v>19</v>
      </c>
      <c r="F165" s="30" t="s">
        <v>123</v>
      </c>
      <c r="G165" s="30" t="s">
        <v>142</v>
      </c>
      <c r="H165" s="25">
        <v>0</v>
      </c>
      <c r="I165" s="1"/>
      <c r="J165" s="44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38" ht="19.5" customHeight="1">
      <c r="A166" s="29">
        <v>85</v>
      </c>
      <c r="B166" s="30" t="s">
        <v>118</v>
      </c>
      <c r="C166" s="29" t="s">
        <v>18</v>
      </c>
      <c r="D166" s="30"/>
      <c r="E166" s="30" t="s">
        <v>41</v>
      </c>
      <c r="F166" s="30" t="s">
        <v>292</v>
      </c>
      <c r="G166" s="30" t="s">
        <v>142</v>
      </c>
      <c r="H166" s="25">
        <v>3</v>
      </c>
      <c r="I166" s="1"/>
      <c r="J166" s="44"/>
      <c r="K166" s="27">
        <f t="shared" si="5"/>
        <v>0</v>
      </c>
      <c r="L166" s="27"/>
      <c r="M166" s="27"/>
      <c r="N166" s="1">
        <v>12</v>
      </c>
      <c r="O166" s="27">
        <f t="shared" si="6"/>
        <v>0</v>
      </c>
      <c r="P166" s="27"/>
      <c r="Q166" s="27"/>
      <c r="R166" s="20"/>
    </row>
    <row r="167" spans="1:38" s="7" customFormat="1" ht="30.6" customHeight="1">
      <c r="A167" s="24"/>
      <c r="B167" s="23" t="s">
        <v>118</v>
      </c>
      <c r="C167" s="24" t="s">
        <v>18</v>
      </c>
      <c r="D167" s="23"/>
      <c r="E167" s="23" t="s">
        <v>41</v>
      </c>
      <c r="F167" s="23" t="s">
        <v>298</v>
      </c>
      <c r="G167" s="23" t="s">
        <v>124</v>
      </c>
      <c r="H167" s="25"/>
      <c r="I167" s="1"/>
      <c r="J167" s="44"/>
      <c r="K167" s="27">
        <f t="shared" si="5"/>
        <v>0</v>
      </c>
      <c r="L167" s="27"/>
      <c r="M167" s="27"/>
      <c r="N167" s="1"/>
      <c r="O167" s="27">
        <f>P167+Q167</f>
        <v>0</v>
      </c>
      <c r="P167" s="27"/>
      <c r="Q167" s="27"/>
      <c r="R167" s="20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</row>
    <row r="168" spans="1:38" ht="27" customHeight="1">
      <c r="A168" s="24"/>
      <c r="B168" s="23" t="s">
        <v>118</v>
      </c>
      <c r="C168" s="24" t="s">
        <v>18</v>
      </c>
      <c r="D168" s="23"/>
      <c r="E168" s="23" t="s">
        <v>41</v>
      </c>
      <c r="F168" s="23" t="s">
        <v>123</v>
      </c>
      <c r="G168" s="23" t="s">
        <v>136</v>
      </c>
      <c r="H168" s="25"/>
      <c r="I168" s="2"/>
      <c r="J168" s="26"/>
      <c r="K168" s="27">
        <f t="shared" si="5"/>
        <v>0</v>
      </c>
      <c r="L168" s="27"/>
      <c r="M168" s="27"/>
      <c r="N168" s="2"/>
      <c r="O168" s="27">
        <f>P168+Q168</f>
        <v>0</v>
      </c>
      <c r="P168" s="27"/>
      <c r="Q168" s="27"/>
      <c r="R168" s="20"/>
    </row>
    <row r="169" spans="1:38" ht="18.75" customHeight="1" thickBot="1">
      <c r="A169" s="47"/>
      <c r="B169" s="99" t="s">
        <v>119</v>
      </c>
      <c r="C169" s="47" t="s">
        <v>18</v>
      </c>
      <c r="D169" s="99"/>
      <c r="E169" s="99" t="s">
        <v>19</v>
      </c>
      <c r="F169" s="99" t="s">
        <v>120</v>
      </c>
      <c r="G169" s="99" t="s">
        <v>122</v>
      </c>
      <c r="H169" s="100"/>
      <c r="I169" s="16"/>
      <c r="J169" s="101"/>
      <c r="K169" s="27">
        <f t="shared" si="5"/>
        <v>0</v>
      </c>
      <c r="L169" s="102"/>
      <c r="M169" s="102"/>
      <c r="N169" s="16"/>
      <c r="O169" s="102">
        <f>P169+Q169</f>
        <v>0</v>
      </c>
      <c r="P169" s="102"/>
      <c r="Q169" s="102"/>
      <c r="R169" s="20"/>
    </row>
    <row r="170" spans="1:38" ht="16.5" customHeight="1">
      <c r="A170" s="87" t="s">
        <v>145</v>
      </c>
      <c r="B170" s="87"/>
      <c r="C170" s="88"/>
      <c r="D170" s="89"/>
      <c r="E170" s="89"/>
      <c r="F170" s="89"/>
      <c r="G170" s="89"/>
      <c r="H170" s="88">
        <f t="shared" ref="H170:Q170" si="7">SUM(H10:H169)</f>
        <v>347</v>
      </c>
      <c r="I170" s="88">
        <f t="shared" si="7"/>
        <v>51</v>
      </c>
      <c r="J170" s="88">
        <f t="shared" si="7"/>
        <v>51</v>
      </c>
      <c r="K170" s="90">
        <f t="shared" si="7"/>
        <v>0</v>
      </c>
      <c r="L170" s="90">
        <f t="shared" si="7"/>
        <v>0</v>
      </c>
      <c r="M170" s="88">
        <f t="shared" si="7"/>
        <v>0</v>
      </c>
      <c r="N170" s="88">
        <f t="shared" si="7"/>
        <v>209</v>
      </c>
      <c r="O170" s="88">
        <f t="shared" si="7"/>
        <v>0</v>
      </c>
      <c r="P170" s="88">
        <f t="shared" si="7"/>
        <v>0</v>
      </c>
      <c r="Q170" s="88">
        <f t="shared" si="7"/>
        <v>0</v>
      </c>
      <c r="R170" s="20"/>
    </row>
    <row r="171" spans="1:38" ht="15" customHeight="1">
      <c r="A171" s="5"/>
      <c r="B171" s="6"/>
      <c r="C171" s="5"/>
      <c r="D171" s="6"/>
      <c r="E171" s="6"/>
      <c r="F171" s="6"/>
      <c r="G171" s="6"/>
      <c r="H171" s="9"/>
      <c r="I171" s="9"/>
      <c r="J171" s="9"/>
      <c r="K171" s="9"/>
      <c r="L171" s="9"/>
      <c r="M171" s="11"/>
      <c r="N171" s="9"/>
      <c r="O171" s="9"/>
      <c r="P171" s="5"/>
      <c r="Q171" s="13"/>
      <c r="R171" s="20"/>
    </row>
    <row r="172" spans="1:38">
      <c r="R172" s="20"/>
    </row>
    <row r="173" spans="1:38">
      <c r="K173" s="15"/>
      <c r="L173" s="15"/>
      <c r="M173" s="19"/>
    </row>
    <row r="174" spans="1:38">
      <c r="K174" s="15"/>
      <c r="L174" s="15"/>
      <c r="N174" s="15"/>
      <c r="O174" s="15"/>
    </row>
    <row r="175" spans="1:38">
      <c r="K175" s="15"/>
      <c r="L175" s="15"/>
      <c r="N175" s="15"/>
    </row>
    <row r="176" spans="1:38">
      <c r="K176" s="15"/>
      <c r="L176" s="15"/>
    </row>
    <row r="177" spans="11:12">
      <c r="K177" s="15"/>
      <c r="L177" s="15"/>
    </row>
    <row r="178" spans="11:12">
      <c r="L178" s="15"/>
    </row>
    <row r="185" spans="11:12">
      <c r="L185" s="15"/>
    </row>
  </sheetData>
  <mergeCells count="8">
    <mergeCell ref="A170:B17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R225"/>
  <sheetViews>
    <sheetView topLeftCell="A158" zoomScaleNormal="100" workbookViewId="0">
      <selection activeCell="C218" sqref="C218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91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34</v>
      </c>
      <c r="I11" s="1">
        <v>16</v>
      </c>
      <c r="J11" s="26">
        <v>16</v>
      </c>
      <c r="K11" s="27">
        <f t="shared" ref="K11:K75" si="1">L11+M11</f>
        <v>23406.1</v>
      </c>
      <c r="L11" s="27">
        <v>23406.1</v>
      </c>
      <c r="M11" s="27"/>
      <c r="N11" s="1">
        <v>19</v>
      </c>
      <c r="O11" s="27">
        <f t="shared" ref="O11:O75" si="2">P11+Q11</f>
        <v>81389.919999999998</v>
      </c>
      <c r="P11" s="27">
        <v>81389.919999999998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69</v>
      </c>
      <c r="I12" s="1">
        <v>37</v>
      </c>
      <c r="J12" s="26">
        <v>48</v>
      </c>
      <c r="K12" s="27">
        <f t="shared" si="1"/>
        <v>7629.68</v>
      </c>
      <c r="L12" s="27">
        <v>6583.05</v>
      </c>
      <c r="M12" s="27">
        <v>1046.6300000000001</v>
      </c>
      <c r="N12" s="1">
        <v>16</v>
      </c>
      <c r="O12" s="27">
        <f t="shared" si="2"/>
        <v>29606.9</v>
      </c>
      <c r="P12" s="27">
        <v>26019.82</v>
      </c>
      <c r="Q12" s="27">
        <v>3587.08</v>
      </c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6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21943.439999999999</v>
      </c>
      <c r="L14" s="27">
        <v>21943.439999999999</v>
      </c>
      <c r="M14" s="27"/>
      <c r="N14" s="1">
        <v>20</v>
      </c>
      <c r="O14" s="27">
        <f t="shared" si="2"/>
        <v>61466.06</v>
      </c>
      <c r="P14" s="27">
        <v>61466.06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23439.06</v>
      </c>
      <c r="L15" s="27">
        <v>23439.06</v>
      </c>
      <c r="M15" s="27"/>
      <c r="N15" s="2">
        <v>11</v>
      </c>
      <c r="O15" s="27">
        <f t="shared" si="2"/>
        <v>13093.04</v>
      </c>
      <c r="P15" s="27">
        <v>13093.04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70</v>
      </c>
      <c r="I16" s="1">
        <v>54</v>
      </c>
      <c r="J16" s="26">
        <v>70</v>
      </c>
      <c r="K16" s="27">
        <f t="shared" si="1"/>
        <v>62737.22</v>
      </c>
      <c r="L16" s="27">
        <v>51173.75</v>
      </c>
      <c r="M16" s="27">
        <v>11563.47</v>
      </c>
      <c r="N16" s="1">
        <v>27</v>
      </c>
      <c r="O16" s="27">
        <f t="shared" si="2"/>
        <v>93861.98</v>
      </c>
      <c r="P16" s="27">
        <f>65062.86+3974.76+2399.96+21007.75</f>
        <v>92445.33</v>
      </c>
      <c r="Q16" s="27">
        <v>1416.65</v>
      </c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69</v>
      </c>
      <c r="I20" s="1">
        <v>53</v>
      </c>
      <c r="J20" s="26">
        <v>59</v>
      </c>
      <c r="K20" s="27">
        <f t="shared" si="1"/>
        <v>38815.240000000005</v>
      </c>
      <c r="L20" s="27">
        <f>32460.24+6355</f>
        <v>38815.240000000005</v>
      </c>
      <c r="M20" s="27"/>
      <c r="N20" s="1">
        <v>30</v>
      </c>
      <c r="O20" s="27">
        <f t="shared" si="2"/>
        <v>92295.76</v>
      </c>
      <c r="P20" s="27">
        <f>70362.9+2269.02+422.88+1395.86+16407.31+1437.79</f>
        <v>92295.76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7804.06</v>
      </c>
      <c r="P21" s="27">
        <v>7804.06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8</v>
      </c>
      <c r="J22" s="26">
        <v>8</v>
      </c>
      <c r="K22" s="27">
        <f t="shared" si="1"/>
        <v>9389.1</v>
      </c>
      <c r="L22" s="27">
        <v>9389.1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25386.880000000001</v>
      </c>
      <c r="P23" s="27">
        <f>6214.56+19172.32</f>
        <v>25386.880000000001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>
        <f t="shared" si="1"/>
        <v>0</v>
      </c>
      <c r="L26" s="27"/>
      <c r="M26" s="27"/>
      <c r="N26" s="1"/>
      <c r="O26" s="27">
        <f t="shared" si="2"/>
        <v>0</v>
      </c>
      <c r="P26" s="27"/>
      <c r="Q26" s="27"/>
      <c r="R26" s="20"/>
    </row>
    <row r="27" spans="1:38" s="28" customFormat="1" ht="15" customHeight="1">
      <c r="A27" s="24">
        <v>10</v>
      </c>
      <c r="B27" s="23" t="s">
        <v>484</v>
      </c>
      <c r="C27" s="24" t="s">
        <v>18</v>
      </c>
      <c r="D27" s="23"/>
      <c r="E27" s="23" t="s">
        <v>104</v>
      </c>
      <c r="F27" s="23" t="s">
        <v>487</v>
      </c>
      <c r="G27" s="23" t="s">
        <v>122</v>
      </c>
      <c r="H27" s="25">
        <v>27</v>
      </c>
      <c r="I27" s="1">
        <v>11</v>
      </c>
      <c r="J27" s="26">
        <v>11</v>
      </c>
      <c r="K27" s="27">
        <f t="shared" si="1"/>
        <v>8411.92</v>
      </c>
      <c r="L27" s="27">
        <v>8411.92</v>
      </c>
      <c r="M27" s="27"/>
      <c r="N27" s="1"/>
      <c r="O27" s="27">
        <f t="shared" si="2"/>
        <v>0</v>
      </c>
      <c r="P27" s="27"/>
      <c r="Q27" s="27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5312.43</v>
      </c>
      <c r="L28" s="27">
        <f>4086.08+1226.35</f>
        <v>5312.43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21</v>
      </c>
      <c r="I29" s="1">
        <v>15</v>
      </c>
      <c r="J29" s="44">
        <v>18</v>
      </c>
      <c r="K29" s="27">
        <f t="shared" si="1"/>
        <v>18888.64</v>
      </c>
      <c r="L29" s="27">
        <v>18888.64</v>
      </c>
      <c r="M29" s="27"/>
      <c r="N29" s="1">
        <v>6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43</v>
      </c>
      <c r="I31" s="1">
        <v>27</v>
      </c>
      <c r="J31" s="26">
        <v>33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28</v>
      </c>
      <c r="O31" s="27">
        <f t="shared" si="2"/>
        <v>49711.5</v>
      </c>
      <c r="P31" s="27">
        <f>20737.96+17118.86+11854.68</f>
        <v>49711.5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15</v>
      </c>
      <c r="I33" s="2">
        <v>7</v>
      </c>
      <c r="J33" s="26">
        <v>7</v>
      </c>
      <c r="K33" s="27">
        <f t="shared" si="1"/>
        <v>4052.6</v>
      </c>
      <c r="L33" s="27">
        <v>4052.6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30</v>
      </c>
      <c r="I34" s="1">
        <v>22</v>
      </c>
      <c r="J34" s="26">
        <v>35</v>
      </c>
      <c r="K34" s="27">
        <f t="shared" si="1"/>
        <v>18478.349999999999</v>
      </c>
      <c r="L34" s="27">
        <f>6122.51+3852.95+8502.89</f>
        <v>18478.349999999999</v>
      </c>
      <c r="M34" s="27"/>
      <c r="N34" s="1">
        <v>15</v>
      </c>
      <c r="O34" s="27">
        <f t="shared" si="2"/>
        <v>53153.45</v>
      </c>
      <c r="P34" s="27">
        <f>51128.02+2025.43</f>
        <v>53153.45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8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17504.7</v>
      </c>
      <c r="P36" s="27">
        <f>16623.7+881</f>
        <v>17504.7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17</v>
      </c>
      <c r="I37" s="1">
        <v>3</v>
      </c>
      <c r="J37" s="26">
        <v>3</v>
      </c>
      <c r="K37" s="27">
        <f t="shared" si="1"/>
        <v>3106</v>
      </c>
      <c r="L37" s="27">
        <v>1817.3</v>
      </c>
      <c r="M37" s="27">
        <v>1288.7</v>
      </c>
      <c r="N37" s="1">
        <v>8</v>
      </c>
      <c r="O37" s="27">
        <f t="shared" si="2"/>
        <v>19606.04</v>
      </c>
      <c r="P37" s="27">
        <v>19606.04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21</v>
      </c>
      <c r="I38" s="1">
        <v>12</v>
      </c>
      <c r="J38" s="26">
        <v>12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32463.260000000002</v>
      </c>
      <c r="P38" s="27">
        <f>11156.02+2671.19+16630.01+2006.04</f>
        <v>32463.260000000002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22</v>
      </c>
      <c r="I39" s="2">
        <v>13</v>
      </c>
      <c r="J39" s="26">
        <v>13</v>
      </c>
      <c r="K39" s="27">
        <f t="shared" si="1"/>
        <v>12586.8</v>
      </c>
      <c r="L39" s="27">
        <v>12586.8</v>
      </c>
      <c r="M39" s="27"/>
      <c r="N39" s="2">
        <v>6</v>
      </c>
      <c r="O39" s="27">
        <f t="shared" si="2"/>
        <v>15946.1</v>
      </c>
      <c r="P39" s="27">
        <v>15946.1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32</v>
      </c>
      <c r="I40" s="1">
        <v>22</v>
      </c>
      <c r="J40" s="26">
        <v>30</v>
      </c>
      <c r="K40" s="27">
        <f t="shared" si="1"/>
        <v>17627.599999999999</v>
      </c>
      <c r="L40" s="27">
        <v>17627.599999999999</v>
      </c>
      <c r="M40" s="27"/>
      <c r="N40" s="1">
        <v>16</v>
      </c>
      <c r="O40" s="27">
        <f t="shared" si="2"/>
        <v>31911.79</v>
      </c>
      <c r="P40" s="27">
        <f>28541.43+3370.36</f>
        <v>31911.79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13</v>
      </c>
      <c r="J41" s="26">
        <v>13</v>
      </c>
      <c r="K41" s="27">
        <f t="shared" si="1"/>
        <v>8207.9</v>
      </c>
      <c r="L41" s="27">
        <v>8207.9</v>
      </c>
      <c r="M41" s="27"/>
      <c r="N41" s="2">
        <v>14</v>
      </c>
      <c r="O41" s="27">
        <f t="shared" si="2"/>
        <v>24514.3</v>
      </c>
      <c r="P41" s="27">
        <v>24514.3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23</v>
      </c>
      <c r="I42" s="1">
        <v>15</v>
      </c>
      <c r="J42" s="26">
        <v>15</v>
      </c>
      <c r="K42" s="27">
        <f t="shared" si="1"/>
        <v>5380.1399999999994</v>
      </c>
      <c r="L42" s="27">
        <f>1131.2+4248.94</f>
        <v>5380.1399999999994</v>
      </c>
      <c r="M42" s="27"/>
      <c r="N42" s="1">
        <v>7</v>
      </c>
      <c r="O42" s="27">
        <f t="shared" si="2"/>
        <v>9288.84</v>
      </c>
      <c r="P42" s="27">
        <f>4817.32+599.08+1497.7+2374.74</f>
        <v>9288.84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26</v>
      </c>
      <c r="I43" s="1">
        <v>7</v>
      </c>
      <c r="J43" s="26">
        <v>7</v>
      </c>
      <c r="K43" s="27">
        <f t="shared" si="1"/>
        <v>10461.5</v>
      </c>
      <c r="L43" s="27">
        <v>2945.6</v>
      </c>
      <c r="M43" s="27">
        <v>7515.9</v>
      </c>
      <c r="N43" s="1">
        <v>9</v>
      </c>
      <c r="O43" s="27">
        <f t="shared" si="2"/>
        <v>21626.82</v>
      </c>
      <c r="P43" s="27">
        <v>14414.29</v>
      </c>
      <c r="Q43" s="27">
        <v>7212.5299999999988</v>
      </c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35</v>
      </c>
      <c r="I44" s="1"/>
      <c r="J44" s="26"/>
      <c r="K44" s="27">
        <f t="shared" si="1"/>
        <v>15890.44</v>
      </c>
      <c r="L44" s="27">
        <v>15890.44</v>
      </c>
      <c r="M44" s="27"/>
      <c r="N44" s="1"/>
      <c r="O44" s="27">
        <f t="shared" si="2"/>
        <v>24085.7</v>
      </c>
      <c r="P44" s="27">
        <v>24085.7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3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4050.2</v>
      </c>
      <c r="L47" s="27"/>
      <c r="M47" s="27">
        <v>4050.2</v>
      </c>
      <c r="N47" s="1">
        <v>7</v>
      </c>
      <c r="O47" s="27">
        <f t="shared" si="2"/>
        <v>8272.2999999999993</v>
      </c>
      <c r="P47" s="27">
        <v>6431.3</v>
      </c>
      <c r="Q47" s="27">
        <v>1840.9999999999991</v>
      </c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27468.61</v>
      </c>
      <c r="P48" s="27">
        <f>22402.99+2762.46+2303.16</f>
        <v>27468.61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14</v>
      </c>
      <c r="I49" s="1">
        <v>3</v>
      </c>
      <c r="J49" s="26">
        <v>3</v>
      </c>
      <c r="K49" s="27">
        <f t="shared" si="1"/>
        <v>3534.72</v>
      </c>
      <c r="L49" s="27">
        <v>3534.72</v>
      </c>
      <c r="M49" s="27"/>
      <c r="N49" s="1">
        <v>10</v>
      </c>
      <c r="O49" s="27">
        <f t="shared" si="2"/>
        <v>20020.73</v>
      </c>
      <c r="P49" s="27">
        <v>20020.73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24</v>
      </c>
      <c r="I50" s="1">
        <v>20</v>
      </c>
      <c r="J50" s="26">
        <v>21</v>
      </c>
      <c r="K50" s="27">
        <f t="shared" si="1"/>
        <v>15749.849999999999</v>
      </c>
      <c r="L50" s="27">
        <f>8384.28+2921.04+4444.53</f>
        <v>15749.849999999999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6</v>
      </c>
      <c r="J51" s="26">
        <v>6</v>
      </c>
      <c r="K51" s="27">
        <f>L51+M51</f>
        <v>13230.45</v>
      </c>
      <c r="L51" s="27">
        <v>13230.45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14488.18</v>
      </c>
      <c r="L52" s="27">
        <f>6913.6+7574.58</f>
        <v>14488.18</v>
      </c>
      <c r="M52" s="27"/>
      <c r="N52" s="1">
        <v>8</v>
      </c>
      <c r="O52" s="27">
        <f t="shared" si="2"/>
        <v>34567.22</v>
      </c>
      <c r="P52" s="27">
        <f>21680.73+1973.37+10913.12</f>
        <v>34567.22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41</v>
      </c>
      <c r="I55" s="1">
        <v>27</v>
      </c>
      <c r="J55" s="26">
        <v>27</v>
      </c>
      <c r="K55" s="27">
        <f t="shared" si="1"/>
        <v>3401.55</v>
      </c>
      <c r="L55" s="27">
        <v>3401.55</v>
      </c>
      <c r="M55" s="27"/>
      <c r="N55" s="1">
        <v>14</v>
      </c>
      <c r="O55" s="27">
        <f t="shared" si="2"/>
        <v>77103.839999999997</v>
      </c>
      <c r="P55" s="27">
        <v>63564.07</v>
      </c>
      <c r="Q55" s="27">
        <f>10339.35+3200.42</f>
        <v>13539.77</v>
      </c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2819.2</v>
      </c>
      <c r="L56" s="27">
        <v>2819.2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2430.12</v>
      </c>
      <c r="L57" s="27">
        <v>2430.12</v>
      </c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36</v>
      </c>
      <c r="I58" s="2">
        <v>30</v>
      </c>
      <c r="J58" s="26">
        <v>30</v>
      </c>
      <c r="K58" s="27">
        <f>L58+M58</f>
        <v>18343.7</v>
      </c>
      <c r="L58" s="27">
        <v>18343.7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58</v>
      </c>
      <c r="I61" s="26">
        <v>38</v>
      </c>
      <c r="J61" s="26">
        <v>43</v>
      </c>
      <c r="K61" s="27">
        <f t="shared" si="1"/>
        <v>52775.63</v>
      </c>
      <c r="L61" s="85">
        <f>12981.51+2495.36+11292.41+15726.89</f>
        <v>42496.17</v>
      </c>
      <c r="M61" s="85">
        <v>10279.459999999999</v>
      </c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40</v>
      </c>
      <c r="I62" s="1">
        <v>32</v>
      </c>
      <c r="J62" s="26">
        <v>32</v>
      </c>
      <c r="K62" s="27">
        <f t="shared" si="1"/>
        <v>50815.1</v>
      </c>
      <c r="L62" s="27">
        <f>26838.02+8475.22</f>
        <v>35313.24</v>
      </c>
      <c r="M62" s="27">
        <v>15501.86</v>
      </c>
      <c r="N62" s="1">
        <v>23</v>
      </c>
      <c r="O62" s="27">
        <f t="shared" si="2"/>
        <v>37262.6</v>
      </c>
      <c r="P62" s="27">
        <f>28261.6+9001</f>
        <v>37262.6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39</v>
      </c>
      <c r="I63" s="1">
        <v>29</v>
      </c>
      <c r="J63" s="26">
        <v>32</v>
      </c>
      <c r="K63" s="27">
        <f t="shared" si="1"/>
        <v>17177.3</v>
      </c>
      <c r="L63" s="27">
        <f>12863.92+4313.38</f>
        <v>17177.3</v>
      </c>
      <c r="M63" s="27"/>
      <c r="N63" s="1">
        <v>15</v>
      </c>
      <c r="O63" s="27">
        <f t="shared" si="2"/>
        <v>44600.24</v>
      </c>
      <c r="P63" s="27">
        <f>37111.35+7488.89</f>
        <v>44600.24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26</v>
      </c>
      <c r="I64" s="1">
        <v>7</v>
      </c>
      <c r="J64" s="26">
        <v>8</v>
      </c>
      <c r="K64" s="27">
        <f t="shared" si="1"/>
        <v>8263.2000000000007</v>
      </c>
      <c r="L64" s="27">
        <v>8263.2000000000007</v>
      </c>
      <c r="M64" s="27"/>
      <c r="N64" s="1">
        <v>14</v>
      </c>
      <c r="O64" s="27">
        <f t="shared" si="2"/>
        <v>32954.9</v>
      </c>
      <c r="P64" s="27">
        <v>32954.9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20736.11</v>
      </c>
      <c r="L65" s="27">
        <v>20736.11</v>
      </c>
      <c r="M65" s="27"/>
      <c r="N65" s="1">
        <v>23</v>
      </c>
      <c r="O65" s="27">
        <f t="shared" si="2"/>
        <v>40663.880000000005</v>
      </c>
      <c r="P65" s="27">
        <f>26863.22+11253.87+2546.79</f>
        <v>40663.880000000005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26</v>
      </c>
      <c r="I67" s="1">
        <v>16</v>
      </c>
      <c r="J67" s="26">
        <v>18</v>
      </c>
      <c r="K67" s="27">
        <f t="shared" si="1"/>
        <v>6395.62</v>
      </c>
      <c r="L67" s="27">
        <v>6395.62</v>
      </c>
      <c r="M67" s="27"/>
      <c r="N67" s="1">
        <v>10</v>
      </c>
      <c r="O67" s="27">
        <f t="shared" si="2"/>
        <v>11007.39</v>
      </c>
      <c r="P67" s="27">
        <v>11007.39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16</v>
      </c>
      <c r="J68" s="26">
        <v>16</v>
      </c>
      <c r="K68" s="27">
        <f t="shared" si="1"/>
        <v>14205.34</v>
      </c>
      <c r="L68" s="27">
        <f>14205.34</f>
        <v>14205.34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7</v>
      </c>
      <c r="O69" s="27">
        <f t="shared" si="2"/>
        <v>16873.05</v>
      </c>
      <c r="P69" s="27">
        <v>12270.55</v>
      </c>
      <c r="Q69" s="27">
        <v>4602.5</v>
      </c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37</v>
      </c>
      <c r="I70" s="1">
        <v>19</v>
      </c>
      <c r="J70" s="26">
        <v>23</v>
      </c>
      <c r="K70" s="27">
        <f t="shared" si="1"/>
        <v>17853.64</v>
      </c>
      <c r="L70" s="27">
        <v>7602.67</v>
      </c>
      <c r="M70" s="27">
        <v>10250.969999999999</v>
      </c>
      <c r="N70" s="1">
        <v>13</v>
      </c>
      <c r="O70" s="27">
        <f t="shared" si="2"/>
        <v>9835.5800000000017</v>
      </c>
      <c r="P70" s="27">
        <f>6874.29+1932.91</f>
        <v>8807.2000000000007</v>
      </c>
      <c r="Q70" s="27">
        <v>1028.3800000000001</v>
      </c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16</v>
      </c>
      <c r="I71" s="2">
        <v>5</v>
      </c>
      <c r="J71" s="26">
        <v>5</v>
      </c>
      <c r="K71" s="27">
        <f t="shared" si="1"/>
        <v>3700.2</v>
      </c>
      <c r="L71" s="27">
        <v>3700.2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38</v>
      </c>
      <c r="I72" s="2">
        <v>28</v>
      </c>
      <c r="J72" s="26">
        <v>28</v>
      </c>
      <c r="K72" s="27">
        <f t="shared" si="1"/>
        <v>14696.49</v>
      </c>
      <c r="L72" s="27">
        <f>3127.55+1123.28</f>
        <v>4250.83</v>
      </c>
      <c r="M72" s="27">
        <v>10445.66</v>
      </c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64</v>
      </c>
      <c r="I73" s="1">
        <v>37</v>
      </c>
      <c r="J73" s="26">
        <v>38</v>
      </c>
      <c r="K73" s="27">
        <f t="shared" si="1"/>
        <v>30810.21</v>
      </c>
      <c r="L73" s="27">
        <v>25040.720000000001</v>
      </c>
      <c r="M73" s="27">
        <v>5769.49</v>
      </c>
      <c r="N73" s="1">
        <v>25</v>
      </c>
      <c r="O73" s="27">
        <f t="shared" si="2"/>
        <v>163872.71</v>
      </c>
      <c r="P73" s="27">
        <f>109028.82+3123.6+2556.43+39698.21</f>
        <v>154407.06</v>
      </c>
      <c r="Q73" s="27">
        <f>5317.19+4148.46</f>
        <v>9465.65</v>
      </c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51</v>
      </c>
      <c r="I75" s="1">
        <v>38</v>
      </c>
      <c r="J75" s="26">
        <v>39</v>
      </c>
      <c r="K75" s="27">
        <f t="shared" si="1"/>
        <v>26694.03</v>
      </c>
      <c r="L75" s="27">
        <v>26694.03</v>
      </c>
      <c r="M75" s="27"/>
      <c r="N75" s="1">
        <v>13</v>
      </c>
      <c r="O75" s="27">
        <f t="shared" si="2"/>
        <v>40094.129999999997</v>
      </c>
      <c r="P75" s="27">
        <v>40094.129999999997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9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21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12</v>
      </c>
      <c r="O77" s="27">
        <f t="shared" si="4"/>
        <v>47402.14</v>
      </c>
      <c r="P77" s="27">
        <v>47402.14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5</v>
      </c>
      <c r="J78" s="26">
        <v>6</v>
      </c>
      <c r="K78" s="27">
        <f t="shared" si="3"/>
        <v>0</v>
      </c>
      <c r="L78" s="27"/>
      <c r="M78" s="27"/>
      <c r="N78" s="1">
        <v>10</v>
      </c>
      <c r="O78" s="27">
        <f t="shared" si="4"/>
        <v>10370.91</v>
      </c>
      <c r="P78" s="27">
        <v>10370.91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26</v>
      </c>
      <c r="I79" s="1">
        <v>18</v>
      </c>
      <c r="J79" s="26">
        <v>18</v>
      </c>
      <c r="K79" s="27">
        <f t="shared" si="3"/>
        <v>9195</v>
      </c>
      <c r="L79" s="27">
        <f>4400.6+4794.4</f>
        <v>9195</v>
      </c>
      <c r="M79" s="27"/>
      <c r="N79" s="1">
        <v>21</v>
      </c>
      <c r="O79" s="27">
        <f t="shared" si="4"/>
        <v>67887.14</v>
      </c>
      <c r="P79" s="27">
        <v>67887.14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28</v>
      </c>
      <c r="I80" s="2">
        <v>9</v>
      </c>
      <c r="J80" s="26">
        <v>9</v>
      </c>
      <c r="K80" s="27">
        <f t="shared" si="3"/>
        <v>6343.2</v>
      </c>
      <c r="L80" s="27">
        <v>6343.2</v>
      </c>
      <c r="M80" s="27"/>
      <c r="N80" s="2">
        <v>16</v>
      </c>
      <c r="O80" s="27">
        <f t="shared" si="4"/>
        <v>65187.360000000001</v>
      </c>
      <c r="P80" s="27">
        <v>65187.360000000001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7</v>
      </c>
      <c r="O81" s="27">
        <f t="shared" si="4"/>
        <v>18324.8</v>
      </c>
      <c r="P81" s="27">
        <f>10043.4+8281.4</f>
        <v>18324.8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17</v>
      </c>
      <c r="I82" s="1">
        <v>4</v>
      </c>
      <c r="J82" s="26">
        <v>4</v>
      </c>
      <c r="K82" s="27">
        <f t="shared" si="3"/>
        <v>9717.2000000000007</v>
      </c>
      <c r="L82" s="27">
        <v>4234.3</v>
      </c>
      <c r="M82" s="27">
        <v>5482.9000000000005</v>
      </c>
      <c r="N82" s="1">
        <v>15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23</v>
      </c>
      <c r="I83" s="1">
        <v>22</v>
      </c>
      <c r="J83" s="26">
        <v>24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109</v>
      </c>
      <c r="I85" s="1">
        <v>75</v>
      </c>
      <c r="J85" s="26">
        <v>80</v>
      </c>
      <c r="K85" s="27">
        <f t="shared" si="3"/>
        <v>48330.6</v>
      </c>
      <c r="L85" s="27">
        <f>47012.42+1318.18</f>
        <v>48330.6</v>
      </c>
      <c r="M85" s="27"/>
      <c r="N85" s="1">
        <v>3</v>
      </c>
      <c r="O85" s="27">
        <f t="shared" si="4"/>
        <v>12511.380000000001</v>
      </c>
      <c r="P85" s="27">
        <f>9777.93+2733.45</f>
        <v>12511.380000000001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24">
        <v>43</v>
      </c>
      <c r="B86" s="23" t="s">
        <v>486</v>
      </c>
      <c r="C86" s="24" t="s">
        <v>18</v>
      </c>
      <c r="D86" s="23"/>
      <c r="E86" s="23" t="s">
        <v>488</v>
      </c>
      <c r="F86" s="23" t="s">
        <v>494</v>
      </c>
      <c r="G86" s="23" t="s">
        <v>131</v>
      </c>
      <c r="H86" s="25">
        <v>15</v>
      </c>
      <c r="I86" s="1">
        <v>5</v>
      </c>
      <c r="J86" s="26">
        <v>5</v>
      </c>
      <c r="K86" s="27">
        <f t="shared" si="3"/>
        <v>0</v>
      </c>
      <c r="L86" s="27"/>
      <c r="M86" s="27"/>
      <c r="N86" s="1"/>
      <c r="O86" s="27">
        <f t="shared" si="4"/>
        <v>0</v>
      </c>
      <c r="P86" s="27"/>
      <c r="Q86" s="27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8041.41</v>
      </c>
      <c r="L87" s="27">
        <v>8041.41</v>
      </c>
      <c r="M87" s="27"/>
      <c r="N87" s="1">
        <v>18</v>
      </c>
      <c r="O87" s="27">
        <f t="shared" si="4"/>
        <v>19879.86</v>
      </c>
      <c r="P87" s="27">
        <f>10572.76+9307.1</f>
        <v>19879.86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57</v>
      </c>
      <c r="I89" s="1">
        <v>51</v>
      </c>
      <c r="J89" s="26">
        <v>53</v>
      </c>
      <c r="K89" s="27">
        <f t="shared" si="3"/>
        <v>48423.270000000004</v>
      </c>
      <c r="L89" s="27">
        <f>34327.04+5784.28</f>
        <v>40111.32</v>
      </c>
      <c r="M89" s="27">
        <v>8311.9500000000007</v>
      </c>
      <c r="N89" s="1">
        <v>22</v>
      </c>
      <c r="O89" s="27">
        <f t="shared" si="4"/>
        <v>40138.19</v>
      </c>
      <c r="P89" s="27">
        <f>28719.49+11418.7</f>
        <v>40138.19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23</v>
      </c>
      <c r="I94" s="2">
        <v>9</v>
      </c>
      <c r="J94" s="26">
        <v>10</v>
      </c>
      <c r="K94" s="27">
        <f t="shared" si="3"/>
        <v>10325.33</v>
      </c>
      <c r="L94" s="27">
        <v>10325.33</v>
      </c>
      <c r="M94" s="27"/>
      <c r="N94" s="2">
        <v>9</v>
      </c>
      <c r="O94" s="27">
        <f t="shared" si="4"/>
        <v>14029.189999999999</v>
      </c>
      <c r="P94" s="27">
        <f>4981.94+158.58+5616.9</f>
        <v>10757.419999999998</v>
      </c>
      <c r="Q94" s="27">
        <v>3271.77</v>
      </c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8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27583.71</v>
      </c>
      <c r="P95" s="27">
        <v>27583.71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18</v>
      </c>
      <c r="I98" s="1">
        <v>14</v>
      </c>
      <c r="J98" s="26">
        <v>16</v>
      </c>
      <c r="K98" s="27">
        <f t="shared" si="3"/>
        <v>6764.75</v>
      </c>
      <c r="L98" s="27">
        <f>2262.4+4502.35</f>
        <v>6764.75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10878.949999999999</v>
      </c>
      <c r="P99" s="27">
        <v>10878.949999999999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6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27</v>
      </c>
      <c r="J104" s="26">
        <v>28</v>
      </c>
      <c r="K104" s="27">
        <f t="shared" si="3"/>
        <v>11380.77</v>
      </c>
      <c r="L104" s="27">
        <v>11380.77</v>
      </c>
      <c r="M104" s="27"/>
      <c r="N104" s="1">
        <v>12</v>
      </c>
      <c r="O104" s="27">
        <f t="shared" si="4"/>
        <v>45390.47</v>
      </c>
      <c r="P104" s="27">
        <v>45390.47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30</v>
      </c>
      <c r="I105" s="1">
        <v>25</v>
      </c>
      <c r="J105" s="26">
        <v>26</v>
      </c>
      <c r="K105" s="27">
        <f t="shared" si="3"/>
        <v>22814.21</v>
      </c>
      <c r="L105" s="27">
        <f>19305.63+3508.58</f>
        <v>22814.21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8</v>
      </c>
      <c r="J106" s="26">
        <v>8</v>
      </c>
      <c r="K106" s="27">
        <f t="shared" si="3"/>
        <v>7684.8</v>
      </c>
      <c r="L106" s="27">
        <v>1057.2</v>
      </c>
      <c r="M106" s="27">
        <v>6627.6</v>
      </c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33</v>
      </c>
      <c r="I107" s="1">
        <v>18</v>
      </c>
      <c r="J107" s="26">
        <v>19</v>
      </c>
      <c r="K107" s="27">
        <f t="shared" si="3"/>
        <v>11333.46</v>
      </c>
      <c r="L107" s="27">
        <v>11333.46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22</v>
      </c>
      <c r="J108" s="26">
        <v>29</v>
      </c>
      <c r="K108" s="27">
        <f t="shared" si="3"/>
        <v>20898.5</v>
      </c>
      <c r="L108" s="27">
        <f>10653.08+2232.15</f>
        <v>12885.23</v>
      </c>
      <c r="M108" s="27">
        <v>8013.27</v>
      </c>
      <c r="N108" s="1">
        <v>29</v>
      </c>
      <c r="O108" s="27">
        <f t="shared" si="4"/>
        <v>109354.01</v>
      </c>
      <c r="P108" s="27">
        <f>98217.49+1416.65+9719.87</f>
        <v>109354.01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45</v>
      </c>
      <c r="I109" s="1">
        <v>19</v>
      </c>
      <c r="J109" s="26">
        <v>19</v>
      </c>
      <c r="K109" s="27">
        <f t="shared" si="3"/>
        <v>50197.1</v>
      </c>
      <c r="L109" s="27">
        <v>7548.1</v>
      </c>
      <c r="M109" s="27">
        <v>42649</v>
      </c>
      <c r="N109" s="1">
        <v>23</v>
      </c>
      <c r="O109" s="27">
        <f t="shared" si="4"/>
        <v>45812.2</v>
      </c>
      <c r="P109" s="27">
        <v>28762</v>
      </c>
      <c r="Q109" s="27">
        <v>17050.2</v>
      </c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53</v>
      </c>
      <c r="I110" s="2">
        <v>29</v>
      </c>
      <c r="J110" s="26">
        <v>29</v>
      </c>
      <c r="K110" s="27">
        <f t="shared" si="3"/>
        <v>10153.620000000001</v>
      </c>
      <c r="L110" s="27">
        <v>10153.620000000001</v>
      </c>
      <c r="M110" s="27"/>
      <c r="N110" s="2">
        <v>35</v>
      </c>
      <c r="O110" s="27">
        <f t="shared" si="4"/>
        <v>87197.48</v>
      </c>
      <c r="P110" s="35">
        <v>87197.48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5580.3</v>
      </c>
      <c r="P112" s="27">
        <v>5580.3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11863.8</v>
      </c>
      <c r="L113" s="27">
        <v>11863.8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49</v>
      </c>
      <c r="I114" s="2">
        <v>34</v>
      </c>
      <c r="J114" s="26">
        <v>40</v>
      </c>
      <c r="K114" s="27">
        <f t="shared" si="3"/>
        <v>28848.960000000003</v>
      </c>
      <c r="L114" s="27">
        <f>4342.45+4538.27+4819.06</f>
        <v>13699.780000000002</v>
      </c>
      <c r="M114" s="27">
        <v>15149.18</v>
      </c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25</v>
      </c>
      <c r="I115" s="2">
        <v>10</v>
      </c>
      <c r="J115" s="26">
        <v>10</v>
      </c>
      <c r="K115" s="27">
        <f t="shared" si="3"/>
        <v>5940.38</v>
      </c>
      <c r="L115" s="27">
        <v>5940.38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23</v>
      </c>
      <c r="I116" s="2">
        <v>14</v>
      </c>
      <c r="J116" s="26">
        <v>14</v>
      </c>
      <c r="K116" s="27">
        <f t="shared" si="3"/>
        <v>21586.5</v>
      </c>
      <c r="L116" s="27">
        <v>21586.5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42</v>
      </c>
      <c r="I117" s="1">
        <v>36</v>
      </c>
      <c r="J117" s="26">
        <v>40</v>
      </c>
      <c r="K117" s="27">
        <f t="shared" si="3"/>
        <v>29636.1</v>
      </c>
      <c r="L117" s="27">
        <f>26169.39+3466.71</f>
        <v>29636.1</v>
      </c>
      <c r="M117" s="27"/>
      <c r="N117" s="1">
        <v>12</v>
      </c>
      <c r="O117" s="27">
        <f t="shared" si="4"/>
        <v>50970.29</v>
      </c>
      <c r="P117" s="27">
        <f>40874.75+8282.32+1813.22</f>
        <v>50970.29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39</v>
      </c>
      <c r="I121" s="1">
        <v>29</v>
      </c>
      <c r="J121" s="26">
        <v>34</v>
      </c>
      <c r="K121" s="27">
        <f t="shared" si="3"/>
        <v>26469</v>
      </c>
      <c r="L121" s="27">
        <f>23252.01+1197.18+2019.81</f>
        <v>26469</v>
      </c>
      <c r="M121" s="27"/>
      <c r="N121" s="1">
        <v>16</v>
      </c>
      <c r="O121" s="27">
        <f t="shared" si="4"/>
        <v>41732.35</v>
      </c>
      <c r="P121" s="27">
        <f>40384.42+1347.93</f>
        <v>41732.35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40</v>
      </c>
      <c r="I123" s="1">
        <v>25</v>
      </c>
      <c r="J123" s="26">
        <v>27</v>
      </c>
      <c r="K123" s="27">
        <f t="shared" si="3"/>
        <v>9765.89</v>
      </c>
      <c r="L123" s="27"/>
      <c r="M123" s="27">
        <v>9765.89</v>
      </c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35</v>
      </c>
      <c r="I125" s="1">
        <v>15</v>
      </c>
      <c r="J125" s="26">
        <v>15</v>
      </c>
      <c r="K125" s="27">
        <f t="shared" si="3"/>
        <v>16481.849999999999</v>
      </c>
      <c r="L125" s="27">
        <v>16481.849999999999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25</v>
      </c>
      <c r="I127" s="1">
        <v>11</v>
      </c>
      <c r="J127" s="26">
        <v>11</v>
      </c>
      <c r="K127" s="27">
        <f t="shared" si="3"/>
        <v>1899.08</v>
      </c>
      <c r="L127" s="27">
        <v>1899.08</v>
      </c>
      <c r="M127" s="27"/>
      <c r="N127" s="1">
        <v>6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8</v>
      </c>
      <c r="I128" s="1">
        <v>1</v>
      </c>
      <c r="J128" s="26">
        <v>1</v>
      </c>
      <c r="K128" s="27">
        <f t="shared" si="3"/>
        <v>2393.3000000000002</v>
      </c>
      <c r="L128" s="27">
        <v>2393.3000000000002</v>
      </c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36</v>
      </c>
      <c r="I129" s="1">
        <v>31</v>
      </c>
      <c r="J129" s="26">
        <v>32</v>
      </c>
      <c r="K129" s="27">
        <f t="shared" si="3"/>
        <v>14700.02</v>
      </c>
      <c r="L129" s="27">
        <v>14700.02</v>
      </c>
      <c r="M129" s="27"/>
      <c r="N129" s="1">
        <v>12</v>
      </c>
      <c r="O129" s="27">
        <f t="shared" si="4"/>
        <v>57464.03</v>
      </c>
      <c r="P129" s="27">
        <v>57464.03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5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72</v>
      </c>
      <c r="I131" s="1">
        <v>67</v>
      </c>
      <c r="J131" s="26">
        <v>69</v>
      </c>
      <c r="K131" s="27">
        <f t="shared" si="3"/>
        <v>46579.159999999996</v>
      </c>
      <c r="L131" s="27">
        <f>39337.34+7241.82</f>
        <v>46579.159999999996</v>
      </c>
      <c r="M131" s="27"/>
      <c r="N131" s="1">
        <v>16</v>
      </c>
      <c r="O131" s="27">
        <f t="shared" si="4"/>
        <v>29718.65</v>
      </c>
      <c r="P131" s="27">
        <f>28101.13+1617.52</f>
        <v>29718.65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31</v>
      </c>
      <c r="I133" s="1">
        <v>23</v>
      </c>
      <c r="J133" s="26">
        <v>26</v>
      </c>
      <c r="K133" s="27">
        <f t="shared" si="3"/>
        <v>32717.78</v>
      </c>
      <c r="L133" s="27">
        <f>15295.92+4938.67+12483.19</f>
        <v>32717.78</v>
      </c>
      <c r="M133" s="27"/>
      <c r="N133" s="1">
        <v>14</v>
      </c>
      <c r="O133" s="27">
        <f t="shared" si="4"/>
        <v>19788.560000000001</v>
      </c>
      <c r="P133" s="27">
        <v>19788.560000000001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23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39</v>
      </c>
      <c r="I135" s="1">
        <v>30</v>
      </c>
      <c r="J135" s="26">
        <v>37</v>
      </c>
      <c r="K135" s="27">
        <f t="shared" si="3"/>
        <v>10436.029999999999</v>
      </c>
      <c r="L135" s="27">
        <f>7290.74+3145.29</f>
        <v>10436.029999999999</v>
      </c>
      <c r="M135" s="27"/>
      <c r="N135" s="1">
        <v>29</v>
      </c>
      <c r="O135" s="27">
        <f t="shared" si="4"/>
        <v>36936.46</v>
      </c>
      <c r="P135" s="27">
        <f>35519.81+1416.65</f>
        <v>36936.46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23</v>
      </c>
      <c r="J136" s="26">
        <v>23</v>
      </c>
      <c r="K136" s="27">
        <f t="shared" si="3"/>
        <v>10780.29</v>
      </c>
      <c r="L136" s="27">
        <v>2466.8000000000002</v>
      </c>
      <c r="M136" s="27">
        <v>8313.49</v>
      </c>
      <c r="N136" s="1">
        <v>23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41</v>
      </c>
      <c r="I137" s="1">
        <v>31</v>
      </c>
      <c r="J137" s="26">
        <v>40</v>
      </c>
      <c r="K137" s="27">
        <f t="shared" si="3"/>
        <v>17808.48</v>
      </c>
      <c r="L137" s="27">
        <v>17808.48</v>
      </c>
      <c r="M137" s="27"/>
      <c r="N137" s="1">
        <v>17</v>
      </c>
      <c r="O137" s="27">
        <f t="shared" si="4"/>
        <v>46710.52</v>
      </c>
      <c r="P137" s="27">
        <f>44051.35+2659.17</f>
        <v>46710.52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5</v>
      </c>
      <c r="J138" s="26">
        <v>5</v>
      </c>
      <c r="K138" s="27">
        <f t="shared" si="3"/>
        <v>0</v>
      </c>
      <c r="L138" s="27"/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4</v>
      </c>
      <c r="O139" s="27">
        <f t="shared" si="4"/>
        <v>2730.25</v>
      </c>
      <c r="P139" s="27">
        <f>1564.44+1165.81</f>
        <v>2730.25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43</v>
      </c>
      <c r="I140" s="1">
        <v>15</v>
      </c>
      <c r="J140" s="44">
        <v>16</v>
      </c>
      <c r="K140" s="27">
        <f t="shared" ref="K140:K206" si="5">L140+M140</f>
        <v>21269.7</v>
      </c>
      <c r="L140" s="27">
        <v>17139.5</v>
      </c>
      <c r="M140" s="27">
        <v>4130.2000000000007</v>
      </c>
      <c r="N140" s="1">
        <v>10</v>
      </c>
      <c r="O140" s="27">
        <f t="shared" ref="O140:O203" si="6">P140+Q140</f>
        <v>19270.080000000002</v>
      </c>
      <c r="P140" s="27">
        <v>12650.58</v>
      </c>
      <c r="Q140" s="27">
        <v>6619.5000000000018</v>
      </c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30</v>
      </c>
      <c r="I141" s="1">
        <v>21</v>
      </c>
      <c r="J141" s="26">
        <v>21</v>
      </c>
      <c r="K141" s="27">
        <f t="shared" si="5"/>
        <v>17283.18</v>
      </c>
      <c r="L141" s="27">
        <f>8817.93+8465.25</f>
        <v>17283.18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22</v>
      </c>
      <c r="I142" s="1">
        <v>6</v>
      </c>
      <c r="J142" s="26">
        <v>6</v>
      </c>
      <c r="K142" s="27">
        <f t="shared" si="5"/>
        <v>1841</v>
      </c>
      <c r="L142" s="27">
        <v>1841</v>
      </c>
      <c r="M142" s="27"/>
      <c r="N142" s="1">
        <v>9</v>
      </c>
      <c r="O142" s="27">
        <f t="shared" si="6"/>
        <v>25465.29</v>
      </c>
      <c r="P142" s="59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18</v>
      </c>
      <c r="I143" s="1">
        <v>15</v>
      </c>
      <c r="J143" s="26">
        <v>15</v>
      </c>
      <c r="K143" s="27">
        <f t="shared" si="5"/>
        <v>9097.42</v>
      </c>
      <c r="L143" s="27">
        <f>2471.02+2848.63+3777.77</f>
        <v>9097.42</v>
      </c>
      <c r="M143" s="27"/>
      <c r="N143" s="1">
        <v>6</v>
      </c>
      <c r="O143" s="27">
        <f t="shared" si="6"/>
        <v>102500.61</v>
      </c>
      <c r="P143" s="27">
        <f>10093.58+4307.03+88100</f>
        <v>102500.61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36</v>
      </c>
      <c r="I144" s="1">
        <v>30</v>
      </c>
      <c r="J144" s="26">
        <v>48</v>
      </c>
      <c r="K144" s="27">
        <f t="shared" si="5"/>
        <v>872.19</v>
      </c>
      <c r="L144" s="27">
        <v>872.19</v>
      </c>
      <c r="M144" s="27"/>
      <c r="N144" s="1">
        <v>26</v>
      </c>
      <c r="O144" s="27">
        <f t="shared" si="6"/>
        <v>57313.77</v>
      </c>
      <c r="P144" s="27">
        <f>35132.88+3580.5+1268.64</f>
        <v>39982.019999999997</v>
      </c>
      <c r="Q144" s="27">
        <v>17331.75</v>
      </c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2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2907.3</v>
      </c>
      <c r="P145" s="27">
        <v>2907.3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17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17</v>
      </c>
      <c r="J149" s="26">
        <v>19</v>
      </c>
      <c r="K149" s="27">
        <f t="shared" si="5"/>
        <v>10209.19</v>
      </c>
      <c r="L149" s="27">
        <f>2702.63+3967.63+3538.93</f>
        <v>10209.19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7</v>
      </c>
      <c r="J151" s="26">
        <v>9</v>
      </c>
      <c r="K151" s="27">
        <f t="shared" si="5"/>
        <v>21115.01</v>
      </c>
      <c r="L151" s="27">
        <v>17248.91</v>
      </c>
      <c r="M151" s="27">
        <v>3866.0999999999985</v>
      </c>
      <c r="N151" s="1">
        <v>7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54</v>
      </c>
      <c r="I152" s="1">
        <v>37</v>
      </c>
      <c r="J152" s="26">
        <v>58</v>
      </c>
      <c r="K152" s="27">
        <f t="shared" si="5"/>
        <v>58379.770000000004</v>
      </c>
      <c r="L152" s="27">
        <f>39751.32+18628.45</f>
        <v>58379.770000000004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19</v>
      </c>
      <c r="I153" s="1">
        <v>6</v>
      </c>
      <c r="J153" s="26">
        <v>6</v>
      </c>
      <c r="K153" s="27">
        <f t="shared" si="5"/>
        <v>10017</v>
      </c>
      <c r="L153" s="27">
        <v>10017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16</v>
      </c>
      <c r="I155" s="1">
        <v>8</v>
      </c>
      <c r="J155" s="26">
        <v>8</v>
      </c>
      <c r="K155" s="27">
        <f t="shared" si="5"/>
        <v>10994.88</v>
      </c>
      <c r="L155" s="27">
        <v>10994.88</v>
      </c>
      <c r="M155" s="27"/>
      <c r="N155" s="1">
        <v>4</v>
      </c>
      <c r="O155" s="27">
        <f t="shared" si="6"/>
        <v>7739.93</v>
      </c>
      <c r="P155" s="27">
        <v>7739.93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25</v>
      </c>
      <c r="I157" s="1">
        <v>10</v>
      </c>
      <c r="J157" s="26">
        <v>10</v>
      </c>
      <c r="K157" s="27">
        <f t="shared" si="5"/>
        <v>20005.8</v>
      </c>
      <c r="L157" s="27">
        <v>6390.6</v>
      </c>
      <c r="M157" s="27">
        <v>13615.199999999999</v>
      </c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16</v>
      </c>
      <c r="I158" s="1">
        <v>8</v>
      </c>
      <c r="J158" s="26">
        <v>8</v>
      </c>
      <c r="K158" s="27">
        <f t="shared" si="5"/>
        <v>12713.48</v>
      </c>
      <c r="L158" s="27">
        <v>12713.48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34</v>
      </c>
      <c r="I160" s="1">
        <v>31</v>
      </c>
      <c r="J160" s="26">
        <v>33</v>
      </c>
      <c r="K160" s="27">
        <f t="shared" si="5"/>
        <v>27886.37</v>
      </c>
      <c r="L160" s="27">
        <v>26981.67</v>
      </c>
      <c r="M160" s="27">
        <v>904.7</v>
      </c>
      <c r="N160" s="1">
        <v>10</v>
      </c>
      <c r="O160" s="27">
        <f t="shared" si="6"/>
        <v>40147.510000000009</v>
      </c>
      <c r="P160" s="27">
        <f>35129.23+845.76</f>
        <v>35974.990000000005</v>
      </c>
      <c r="Q160" s="27">
        <v>4172.5200000000004</v>
      </c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1923.17</v>
      </c>
      <c r="P161" s="27">
        <v>1923.17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13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24">
        <v>86</v>
      </c>
      <c r="B168" s="23" t="s">
        <v>302</v>
      </c>
      <c r="C168" s="24" t="s">
        <v>18</v>
      </c>
      <c r="D168" s="23"/>
      <c r="E168" s="23" t="s">
        <v>104</v>
      </c>
      <c r="F168" s="23" t="s">
        <v>461</v>
      </c>
      <c r="G168" s="23" t="s">
        <v>142</v>
      </c>
      <c r="H168" s="25">
        <v>28</v>
      </c>
      <c r="I168" s="1">
        <v>17</v>
      </c>
      <c r="J168" s="26">
        <v>19</v>
      </c>
      <c r="K168" s="27">
        <f t="shared" si="5"/>
        <v>13931.98</v>
      </c>
      <c r="L168" s="27">
        <v>7478.22</v>
      </c>
      <c r="M168" s="27">
        <v>6453.76</v>
      </c>
      <c r="N168" s="1"/>
      <c r="O168" s="27">
        <f t="shared" si="6"/>
        <v>0</v>
      </c>
      <c r="P168" s="27"/>
      <c r="Q168" s="27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33</v>
      </c>
      <c r="I169" s="1">
        <v>11</v>
      </c>
      <c r="J169" s="26">
        <v>11</v>
      </c>
      <c r="K169" s="27">
        <f t="shared" si="5"/>
        <v>22626.52</v>
      </c>
      <c r="L169" s="27">
        <v>16431.22</v>
      </c>
      <c r="M169" s="27">
        <v>6195.2999999999993</v>
      </c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4531.3999999999996</v>
      </c>
      <c r="L170" s="27">
        <v>4531.3999999999996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9</v>
      </c>
      <c r="I171" s="1">
        <v>5</v>
      </c>
      <c r="J171" s="26">
        <v>5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24"/>
      <c r="B172" s="23" t="s">
        <v>314</v>
      </c>
      <c r="C172" s="24" t="s">
        <v>18</v>
      </c>
      <c r="D172" s="23"/>
      <c r="E172" s="23" t="s">
        <v>460</v>
      </c>
      <c r="F172" s="23" t="s">
        <v>474</v>
      </c>
      <c r="G172" s="23" t="s">
        <v>131</v>
      </c>
      <c r="H172" s="25">
        <v>2</v>
      </c>
      <c r="I172" s="1"/>
      <c r="J172" s="26"/>
      <c r="K172" s="27">
        <f t="shared" si="5"/>
        <v>0</v>
      </c>
      <c r="L172" s="27"/>
      <c r="M172" s="27"/>
      <c r="N172" s="1"/>
      <c r="O172" s="27">
        <f t="shared" si="6"/>
        <v>0</v>
      </c>
      <c r="P172" s="27"/>
      <c r="Q172" s="27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29</v>
      </c>
      <c r="I173" s="1">
        <v>13</v>
      </c>
      <c r="J173" s="26">
        <v>13</v>
      </c>
      <c r="K173" s="27">
        <f t="shared" si="5"/>
        <v>4515.6000000000004</v>
      </c>
      <c r="L173" s="27">
        <v>4515.6000000000004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14</v>
      </c>
      <c r="J174" s="26">
        <v>14</v>
      </c>
      <c r="K174" s="27">
        <f t="shared" si="5"/>
        <v>23091.34</v>
      </c>
      <c r="L174" s="27">
        <v>23091.34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6</v>
      </c>
      <c r="J175" s="26">
        <v>7</v>
      </c>
      <c r="K175" s="27">
        <f t="shared" si="5"/>
        <v>12397.55</v>
      </c>
      <c r="L175" s="27">
        <v>11845.25</v>
      </c>
      <c r="M175" s="27">
        <v>552.29999999999927</v>
      </c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0</v>
      </c>
      <c r="L176" s="27"/>
      <c r="M176" s="27"/>
      <c r="N176" s="1">
        <v>1</v>
      </c>
      <c r="O176" s="27">
        <f t="shared" si="6"/>
        <v>23296.730000000003</v>
      </c>
      <c r="P176" s="27">
        <v>23296.730000000003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17</v>
      </c>
      <c r="J177" s="26">
        <v>26</v>
      </c>
      <c r="K177" s="27">
        <f t="shared" si="5"/>
        <v>10611.5</v>
      </c>
      <c r="L177" s="27"/>
      <c r="M177" s="27">
        <v>10611.5</v>
      </c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0</v>
      </c>
      <c r="L180" s="27"/>
      <c r="M180" s="27"/>
      <c r="N180" s="1">
        <v>10</v>
      </c>
      <c r="O180" s="27">
        <f t="shared" si="6"/>
        <v>12101.070000000002</v>
      </c>
      <c r="P180" s="27">
        <f>1221.57+1977.23+6371.33</f>
        <v>9570.130000000001</v>
      </c>
      <c r="Q180" s="27">
        <v>2530.94</v>
      </c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15</v>
      </c>
      <c r="J181" s="26">
        <v>15</v>
      </c>
      <c r="K181" s="27">
        <f t="shared" si="5"/>
        <v>16959.580000000002</v>
      </c>
      <c r="L181" s="27">
        <v>16959.580000000002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51</v>
      </c>
      <c r="J182" s="26">
        <v>52</v>
      </c>
      <c r="K182" s="27">
        <f t="shared" si="5"/>
        <v>20328.87</v>
      </c>
      <c r="L182" s="27">
        <f>18249.71+2079.16</f>
        <v>20328.87</v>
      </c>
      <c r="M182" s="27"/>
      <c r="N182" s="1">
        <v>9</v>
      </c>
      <c r="O182" s="27">
        <f t="shared" si="6"/>
        <v>106471.7</v>
      </c>
      <c r="P182" s="27">
        <v>106471.7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13</v>
      </c>
      <c r="J183" s="26">
        <v>13</v>
      </c>
      <c r="K183" s="27">
        <f t="shared" si="5"/>
        <v>19546.5</v>
      </c>
      <c r="L183" s="27">
        <v>10125.5</v>
      </c>
      <c r="M183" s="27">
        <v>9421</v>
      </c>
      <c r="N183" s="1">
        <v>8</v>
      </c>
      <c r="O183" s="27">
        <f t="shared" si="6"/>
        <v>16713.62</v>
      </c>
      <c r="P183" s="27">
        <v>14216.32</v>
      </c>
      <c r="Q183" s="27">
        <v>2497.2999999999993</v>
      </c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65</v>
      </c>
      <c r="I184" s="1">
        <v>46</v>
      </c>
      <c r="J184" s="26">
        <v>48</v>
      </c>
      <c r="K184" s="27">
        <f t="shared" si="5"/>
        <v>0</v>
      </c>
      <c r="L184" s="27"/>
      <c r="M184" s="27"/>
      <c r="N184" s="1">
        <v>4</v>
      </c>
      <c r="O184" s="27">
        <f t="shared" si="6"/>
        <v>24743.899999999998</v>
      </c>
      <c r="P184" s="27">
        <f>14026.97+2577.24</f>
        <v>16604.21</v>
      </c>
      <c r="Q184" s="27">
        <v>8139.69</v>
      </c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79</v>
      </c>
      <c r="I185" s="1">
        <v>70</v>
      </c>
      <c r="J185" s="26">
        <v>70</v>
      </c>
      <c r="K185" s="27">
        <f t="shared" si="5"/>
        <v>26917.5</v>
      </c>
      <c r="L185" s="27">
        <f>11917.66+14999.84</f>
        <v>26917.5</v>
      </c>
      <c r="M185" s="27"/>
      <c r="N185" s="1">
        <v>19</v>
      </c>
      <c r="O185" s="27">
        <f t="shared" si="6"/>
        <v>112544.14</v>
      </c>
      <c r="P185" s="27">
        <f>98283.26+14260.88</f>
        <v>112544.14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42</v>
      </c>
      <c r="I186" s="1">
        <v>18</v>
      </c>
      <c r="J186" s="44">
        <v>18</v>
      </c>
      <c r="K186" s="27">
        <f t="shared" si="5"/>
        <v>33459.919999999998</v>
      </c>
      <c r="L186" s="27">
        <v>32347.32</v>
      </c>
      <c r="M186" s="27">
        <v>1112.5999999999985</v>
      </c>
      <c r="N186" s="1">
        <v>24</v>
      </c>
      <c r="O186" s="27">
        <f t="shared" si="6"/>
        <v>48701.81</v>
      </c>
      <c r="P186" s="27">
        <v>48701.81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12</v>
      </c>
      <c r="I187" s="1">
        <v>7</v>
      </c>
      <c r="J187" s="26">
        <v>8</v>
      </c>
      <c r="K187" s="27">
        <f t="shared" si="5"/>
        <v>0</v>
      </c>
      <c r="L187" s="27"/>
      <c r="M187" s="27"/>
      <c r="N187" s="1">
        <v>11</v>
      </c>
      <c r="O187" s="27">
        <f t="shared" si="6"/>
        <v>27541.74</v>
      </c>
      <c r="P187" s="27">
        <v>27541.74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9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4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24">
        <v>98</v>
      </c>
      <c r="B189" s="23" t="s">
        <v>482</v>
      </c>
      <c r="C189" s="24" t="s">
        <v>18</v>
      </c>
      <c r="D189" s="23"/>
      <c r="E189" s="23" t="s">
        <v>104</v>
      </c>
      <c r="F189" s="23" t="s">
        <v>483</v>
      </c>
      <c r="G189" s="23" t="s">
        <v>122</v>
      </c>
      <c r="H189" s="25">
        <v>27</v>
      </c>
      <c r="I189" s="2">
        <v>11</v>
      </c>
      <c r="J189" s="26">
        <v>11</v>
      </c>
      <c r="K189" s="27">
        <f t="shared" si="5"/>
        <v>5707.1</v>
      </c>
      <c r="L189" s="27">
        <v>5707.1</v>
      </c>
      <c r="M189" s="27"/>
      <c r="N189" s="2"/>
      <c r="O189" s="27">
        <f t="shared" si="6"/>
        <v>0</v>
      </c>
      <c r="P189" s="27"/>
      <c r="Q189" s="27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16</v>
      </c>
      <c r="J191" s="26">
        <v>17</v>
      </c>
      <c r="K191" s="27">
        <f t="shared" si="5"/>
        <v>39740.46</v>
      </c>
      <c r="L191" s="27">
        <v>39740.46</v>
      </c>
      <c r="M191" s="27"/>
      <c r="N191" s="1">
        <v>21</v>
      </c>
      <c r="O191" s="27">
        <f t="shared" si="6"/>
        <v>95961.86</v>
      </c>
      <c r="P191" s="27">
        <v>95961.86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13</v>
      </c>
      <c r="I192" s="1">
        <v>7</v>
      </c>
      <c r="J192" s="26">
        <v>8</v>
      </c>
      <c r="K192" s="27">
        <f t="shared" si="5"/>
        <v>5733.55</v>
      </c>
      <c r="L192" s="27">
        <f>3161.03+2572.52</f>
        <v>5733.55</v>
      </c>
      <c r="M192" s="27"/>
      <c r="N192" s="1">
        <v>6</v>
      </c>
      <c r="O192" s="27">
        <f t="shared" si="6"/>
        <v>15866.6</v>
      </c>
      <c r="P192" s="27">
        <f>12416.6+3450</f>
        <v>15866.6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14</v>
      </c>
      <c r="I193" s="2">
        <v>8</v>
      </c>
      <c r="J193" s="26">
        <v>8</v>
      </c>
      <c r="K193" s="27">
        <f t="shared" si="5"/>
        <v>13975.1</v>
      </c>
      <c r="L193" s="27">
        <v>13975.1</v>
      </c>
      <c r="M193" s="27"/>
      <c r="N193" s="2">
        <v>7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45</v>
      </c>
      <c r="I194" s="2">
        <v>43</v>
      </c>
      <c r="J194" s="26">
        <v>45</v>
      </c>
      <c r="K194" s="27">
        <f t="shared" si="5"/>
        <v>30712.12</v>
      </c>
      <c r="L194" s="27">
        <f>23580.67+7131.45</f>
        <v>30712.12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5651.8</v>
      </c>
      <c r="L195" s="27">
        <v>5651.8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61</v>
      </c>
      <c r="I199" s="1">
        <v>46</v>
      </c>
      <c r="J199" s="44">
        <v>48</v>
      </c>
      <c r="K199" s="27">
        <f t="shared" si="5"/>
        <v>51961.86</v>
      </c>
      <c r="L199" s="27">
        <f>39374.14+5156.08+7431.64</f>
        <v>51961.86</v>
      </c>
      <c r="M199" s="27"/>
      <c r="N199" s="1">
        <v>5</v>
      </c>
      <c r="O199" s="27">
        <f t="shared" si="6"/>
        <v>32990.36</v>
      </c>
      <c r="P199" s="27">
        <f>23453.46+1317.98+1317.98+6900.94</f>
        <v>32990.36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33</v>
      </c>
      <c r="I201" s="1">
        <v>17</v>
      </c>
      <c r="J201" s="44">
        <v>19</v>
      </c>
      <c r="K201" s="27">
        <f t="shared" si="5"/>
        <v>13032.5</v>
      </c>
      <c r="L201" s="27">
        <f>10009.78+3022.72</f>
        <v>13032.5</v>
      </c>
      <c r="M201" s="27"/>
      <c r="N201" s="1">
        <v>26</v>
      </c>
      <c r="O201" s="27">
        <f t="shared" si="6"/>
        <v>42727.29</v>
      </c>
      <c r="P201" s="27">
        <f>33365.57+2652.02+5863.94+845.76</f>
        <v>42727.29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46">
        <v>106</v>
      </c>
      <c r="B204" s="60" t="s">
        <v>495</v>
      </c>
      <c r="C204" s="46" t="s">
        <v>18</v>
      </c>
      <c r="D204" s="60"/>
      <c r="E204" s="60" t="s">
        <v>50</v>
      </c>
      <c r="F204" s="60" t="s">
        <v>496</v>
      </c>
      <c r="G204" s="60" t="s">
        <v>142</v>
      </c>
      <c r="H204" s="61">
        <v>1</v>
      </c>
      <c r="I204" s="32"/>
      <c r="J204" s="62"/>
      <c r="K204" s="27"/>
      <c r="L204" s="63"/>
      <c r="M204" s="63"/>
      <c r="N204" s="32"/>
      <c r="O204" s="27"/>
      <c r="P204" s="63"/>
      <c r="Q204" s="63"/>
      <c r="R204" s="20"/>
    </row>
    <row r="205" spans="1:44" s="28" customFormat="1" ht="27" customHeight="1">
      <c r="A205" s="46"/>
      <c r="B205" s="60" t="s">
        <v>489</v>
      </c>
      <c r="C205" s="46" t="s">
        <v>18</v>
      </c>
      <c r="D205" s="60"/>
      <c r="E205" s="60" t="s">
        <v>50</v>
      </c>
      <c r="F205" s="60" t="s">
        <v>497</v>
      </c>
      <c r="G205" s="60" t="s">
        <v>122</v>
      </c>
      <c r="H205" s="61">
        <v>1</v>
      </c>
      <c r="I205" s="32"/>
      <c r="J205" s="62"/>
      <c r="K205" s="27"/>
      <c r="L205" s="63"/>
      <c r="M205" s="63"/>
      <c r="N205" s="32"/>
      <c r="O205" s="27"/>
      <c r="P205" s="63"/>
      <c r="Q205" s="63"/>
      <c r="R205" s="20"/>
    </row>
    <row r="206" spans="1:44" s="28" customFormat="1" ht="27" customHeight="1">
      <c r="A206" s="46"/>
      <c r="B206" s="60" t="s">
        <v>489</v>
      </c>
      <c r="C206" s="46" t="s">
        <v>18</v>
      </c>
      <c r="D206" s="60"/>
      <c r="E206" s="60" t="s">
        <v>50</v>
      </c>
      <c r="F206" s="60" t="s">
        <v>490</v>
      </c>
      <c r="G206" s="60" t="s">
        <v>124</v>
      </c>
      <c r="H206" s="61">
        <v>9</v>
      </c>
      <c r="I206" s="32">
        <v>2</v>
      </c>
      <c r="J206" s="62">
        <v>2</v>
      </c>
      <c r="K206" s="27">
        <f t="shared" si="5"/>
        <v>1656.9</v>
      </c>
      <c r="L206" s="63">
        <v>1656.9</v>
      </c>
      <c r="M206" s="63"/>
      <c r="N206" s="32"/>
      <c r="O206" s="27"/>
      <c r="P206" s="63"/>
      <c r="Q206" s="63"/>
      <c r="R206" s="20"/>
    </row>
    <row r="207" spans="1:44" s="14" customFormat="1" ht="27" customHeight="1">
      <c r="A207" s="46">
        <v>107</v>
      </c>
      <c r="B207" s="60" t="s">
        <v>325</v>
      </c>
      <c r="C207" s="46" t="s">
        <v>18</v>
      </c>
      <c r="D207" s="60"/>
      <c r="E207" s="60" t="s">
        <v>36</v>
      </c>
      <c r="F207" s="60" t="s">
        <v>446</v>
      </c>
      <c r="G207" s="60" t="s">
        <v>142</v>
      </c>
      <c r="H207" s="61">
        <v>13</v>
      </c>
      <c r="I207" s="32">
        <v>8</v>
      </c>
      <c r="J207" s="86">
        <v>9</v>
      </c>
      <c r="K207" s="27">
        <f t="shared" ref="K207:K209" si="7">L207+M207</f>
        <v>12294.11</v>
      </c>
      <c r="L207" s="63">
        <f>4320.42+7973.69</f>
        <v>12294.11</v>
      </c>
      <c r="M207" s="63"/>
      <c r="N207" s="32"/>
      <c r="O207" s="27">
        <f t="shared" ref="O207:O209" si="8">P207+Q207</f>
        <v>0</v>
      </c>
      <c r="P207" s="63"/>
      <c r="Q207" s="63"/>
      <c r="R207" s="20"/>
      <c r="AM207" s="4"/>
      <c r="AN207" s="4"/>
      <c r="AO207" s="4"/>
      <c r="AP207" s="4"/>
      <c r="AQ207" s="4"/>
      <c r="AR207" s="4"/>
    </row>
    <row r="208" spans="1:44" s="28" customFormat="1" ht="27" customHeight="1">
      <c r="A208" s="46"/>
      <c r="B208" s="23" t="s">
        <v>325</v>
      </c>
      <c r="C208" s="24" t="s">
        <v>18</v>
      </c>
      <c r="D208" s="23"/>
      <c r="E208" s="23" t="s">
        <v>36</v>
      </c>
      <c r="F208" s="23" t="s">
        <v>369</v>
      </c>
      <c r="G208" s="23" t="s">
        <v>124</v>
      </c>
      <c r="H208" s="25">
        <v>4</v>
      </c>
      <c r="I208" s="2"/>
      <c r="J208" s="26"/>
      <c r="K208" s="27">
        <f t="shared" si="7"/>
        <v>0</v>
      </c>
      <c r="L208" s="27"/>
      <c r="M208" s="27"/>
      <c r="N208" s="2"/>
      <c r="O208" s="27">
        <f t="shared" si="8"/>
        <v>0</v>
      </c>
      <c r="P208" s="27"/>
      <c r="Q208" s="27"/>
      <c r="R208" s="20"/>
    </row>
    <row r="209" spans="1:44" s="28" customFormat="1" ht="18.75" customHeight="1" thickBot="1">
      <c r="A209" s="47"/>
      <c r="B209" s="48" t="s">
        <v>325</v>
      </c>
      <c r="C209" s="49" t="s">
        <v>18</v>
      </c>
      <c r="D209" s="48"/>
      <c r="E209" s="48" t="s">
        <v>370</v>
      </c>
      <c r="F209" s="48" t="s">
        <v>371</v>
      </c>
      <c r="G209" s="48" t="s">
        <v>136</v>
      </c>
      <c r="H209" s="50">
        <v>3</v>
      </c>
      <c r="I209" s="33">
        <v>2</v>
      </c>
      <c r="J209" s="51">
        <v>2</v>
      </c>
      <c r="K209" s="27">
        <f t="shared" si="7"/>
        <v>0</v>
      </c>
      <c r="L209" s="52"/>
      <c r="M209" s="52"/>
      <c r="N209" s="33"/>
      <c r="O209" s="27">
        <f t="shared" si="8"/>
        <v>0</v>
      </c>
      <c r="P209" s="52"/>
      <c r="Q209" s="52"/>
      <c r="R209" s="20"/>
    </row>
    <row r="210" spans="1:44" s="14" customFormat="1" ht="16.5" customHeight="1">
      <c r="A210" s="87" t="s">
        <v>145</v>
      </c>
      <c r="B210" s="87"/>
      <c r="C210" s="88"/>
      <c r="D210" s="89"/>
      <c r="E210" s="89"/>
      <c r="F210" s="89"/>
      <c r="G210" s="89"/>
      <c r="H210" s="88">
        <f>SUM(H10:H209)</f>
        <v>3772</v>
      </c>
      <c r="I210" s="88">
        <f>SUM(I10:I209)</f>
        <v>2249</v>
      </c>
      <c r="J210" s="88">
        <f>SUM(J10:J209)</f>
        <v>2489</v>
      </c>
      <c r="K210" s="90">
        <f>SUM(K10:K209)</f>
        <v>1934653.8500000006</v>
      </c>
      <c r="L210" s="90">
        <f t="shared" ref="L210:M210" si="9">SUM(L10:L209)</f>
        <v>1695765.57</v>
      </c>
      <c r="M210" s="88">
        <f t="shared" si="9"/>
        <v>238888.28000000003</v>
      </c>
      <c r="N210" s="88">
        <f>SUM(N10:N209)</f>
        <v>1300</v>
      </c>
      <c r="O210" s="90">
        <f>SUM(O10:O209)</f>
        <v>3591045.41</v>
      </c>
      <c r="P210" s="90">
        <f>SUM(P10:P209)</f>
        <v>3486738.1799999997</v>
      </c>
      <c r="Q210" s="90">
        <f>SUM(Q10:Q209)</f>
        <v>104307.23000000001</v>
      </c>
      <c r="R210" s="20"/>
      <c r="AM210" s="4"/>
      <c r="AN210" s="4"/>
      <c r="AO210" s="4"/>
      <c r="AP210" s="4"/>
      <c r="AQ210" s="4"/>
      <c r="AR210" s="4"/>
    </row>
    <row r="211" spans="1:44" s="14" customFormat="1" ht="15" customHeight="1">
      <c r="A211" s="5"/>
      <c r="B211" s="6"/>
      <c r="C211" s="5"/>
      <c r="D211" s="6"/>
      <c r="E211" s="6"/>
      <c r="F211" s="6"/>
      <c r="G211" s="6"/>
      <c r="H211" s="9"/>
      <c r="I211" s="9"/>
      <c r="J211" s="9"/>
      <c r="K211" s="9"/>
      <c r="L211" s="9"/>
      <c r="M211" s="11"/>
      <c r="N211" s="9"/>
      <c r="O211" s="9"/>
      <c r="P211" s="5"/>
      <c r="Q211" s="13"/>
      <c r="R211" s="20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12"/>
      <c r="N212" s="4"/>
      <c r="O212" s="4"/>
      <c r="P212" s="4"/>
      <c r="Q212" s="12"/>
      <c r="R212" s="20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15"/>
      <c r="M213" s="15"/>
      <c r="N213" s="15"/>
      <c r="O213" s="15"/>
      <c r="P213" s="4"/>
      <c r="Q213" s="12"/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2"/>
      <c r="N214" s="15"/>
      <c r="O214" s="15"/>
      <c r="P214" s="4"/>
      <c r="Q214" s="12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S215" s="20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/>
      <c r="N216" s="15"/>
      <c r="O216" s="15"/>
      <c r="P216" s="15"/>
      <c r="Q216" s="19"/>
      <c r="AM216" s="4"/>
      <c r="AN216" s="4"/>
      <c r="AO216" s="4"/>
      <c r="AP216" s="4"/>
      <c r="AQ216" s="4"/>
      <c r="AR216" s="4"/>
    </row>
    <row r="217" spans="1:44" s="14" customForma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15"/>
      <c r="L217" s="15"/>
      <c r="M217" s="15"/>
      <c r="N217" s="15"/>
      <c r="O217" s="15"/>
      <c r="P217" s="15"/>
      <c r="Q217" s="19"/>
      <c r="AM217" s="4"/>
      <c r="AN217" s="4"/>
      <c r="AO217" s="4"/>
      <c r="AP217" s="4"/>
      <c r="AQ217" s="4"/>
      <c r="AR217" s="4"/>
    </row>
    <row r="218" spans="1:44" s="14" customForma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15"/>
      <c r="L218" s="15"/>
      <c r="M218" s="15"/>
      <c r="N218" s="15"/>
      <c r="O218" s="15"/>
      <c r="P218" s="15"/>
      <c r="Q218" s="19"/>
      <c r="AM218" s="4"/>
      <c r="AN218" s="4"/>
      <c r="AO218" s="4"/>
      <c r="AP218" s="4"/>
      <c r="AQ218" s="4"/>
      <c r="AR218" s="4"/>
    </row>
    <row r="219" spans="1:44">
      <c r="K219" s="15"/>
      <c r="L219" s="15"/>
      <c r="M219" s="15"/>
      <c r="N219" s="15"/>
      <c r="O219" s="15"/>
      <c r="P219" s="15"/>
      <c r="Q219" s="19"/>
      <c r="S219" s="20"/>
    </row>
    <row r="221" spans="1:44">
      <c r="K221" s="15"/>
      <c r="O221" s="15"/>
      <c r="P221" s="15"/>
    </row>
    <row r="224" spans="1:44">
      <c r="O224" s="15"/>
    </row>
    <row r="225" spans="1:44" s="12" customForma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15"/>
      <c r="N225" s="4"/>
      <c r="O225" s="4"/>
      <c r="P225" s="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4"/>
      <c r="AN225" s="4"/>
      <c r="AO225" s="4"/>
      <c r="AP225" s="4"/>
      <c r="AQ225" s="4"/>
      <c r="AR225" s="4"/>
    </row>
  </sheetData>
  <mergeCells count="8">
    <mergeCell ref="A210:B21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R225"/>
  <sheetViews>
    <sheetView topLeftCell="A173" zoomScale="66" zoomScaleNormal="66" workbookViewId="0">
      <selection activeCell="V194" sqref="V194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35</v>
      </c>
      <c r="I11" s="1">
        <v>16</v>
      </c>
      <c r="J11" s="26">
        <v>16</v>
      </c>
      <c r="K11" s="27">
        <f t="shared" ref="K11:K75" si="1">L11+M11</f>
        <v>27440.2</v>
      </c>
      <c r="L11" s="27">
        <v>23406.1</v>
      </c>
      <c r="M11" s="27">
        <v>4034.1000000000022</v>
      </c>
      <c r="N11" s="1">
        <v>19</v>
      </c>
      <c r="O11" s="27">
        <f t="shared" ref="O11:O75" si="2">P11+Q11</f>
        <v>85808.22</v>
      </c>
      <c r="P11" s="27">
        <v>81389.919999999998</v>
      </c>
      <c r="Q11" s="27">
        <v>4418.3000000000029</v>
      </c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72</v>
      </c>
      <c r="I12" s="1">
        <v>37</v>
      </c>
      <c r="J12" s="26">
        <v>48</v>
      </c>
      <c r="K12" s="27">
        <f t="shared" si="1"/>
        <v>44191.93</v>
      </c>
      <c r="L12" s="27">
        <v>7629.68</v>
      </c>
      <c r="M12" s="27">
        <v>36562.25</v>
      </c>
      <c r="N12" s="1">
        <v>16</v>
      </c>
      <c r="O12" s="27">
        <f t="shared" si="2"/>
        <v>38318.15</v>
      </c>
      <c r="P12" s="27">
        <f>29606.9</f>
        <v>29606.9</v>
      </c>
      <c r="Q12" s="27">
        <f>4271.09+4440.16</f>
        <v>8711.25</v>
      </c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6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21943.439999999999</v>
      </c>
      <c r="L14" s="27">
        <v>21943.439999999999</v>
      </c>
      <c r="M14" s="27"/>
      <c r="N14" s="1">
        <v>20</v>
      </c>
      <c r="O14" s="27">
        <f t="shared" si="2"/>
        <v>62276.1</v>
      </c>
      <c r="P14" s="27">
        <v>61466.06</v>
      </c>
      <c r="Q14" s="27">
        <f>810.04</f>
        <v>810.04</v>
      </c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25729.66</v>
      </c>
      <c r="L15" s="27">
        <v>25729.66</v>
      </c>
      <c r="M15" s="27"/>
      <c r="N15" s="2">
        <v>11</v>
      </c>
      <c r="O15" s="27">
        <f t="shared" si="2"/>
        <v>15486.34</v>
      </c>
      <c r="P15" s="27">
        <v>15486.34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78</v>
      </c>
      <c r="I16" s="1">
        <v>54</v>
      </c>
      <c r="J16" s="26">
        <v>70</v>
      </c>
      <c r="K16" s="27">
        <f t="shared" si="1"/>
        <v>100649.36</v>
      </c>
      <c r="L16" s="27">
        <v>62737.22</v>
      </c>
      <c r="M16" s="27">
        <v>37912.14</v>
      </c>
      <c r="N16" s="1">
        <v>27</v>
      </c>
      <c r="O16" s="27">
        <f t="shared" si="2"/>
        <v>120982.69</v>
      </c>
      <c r="P16" s="27">
        <v>93861.98</v>
      </c>
      <c r="Q16" s="27">
        <f>17575.4+9545.31</f>
        <v>27120.71</v>
      </c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70</v>
      </c>
      <c r="I20" s="1">
        <v>53</v>
      </c>
      <c r="J20" s="26">
        <v>59</v>
      </c>
      <c r="K20" s="27">
        <f t="shared" si="1"/>
        <v>50420.990000000005</v>
      </c>
      <c r="L20" s="27">
        <f>32460.24+6355</f>
        <v>38815.240000000005</v>
      </c>
      <c r="M20" s="27">
        <v>11605.75</v>
      </c>
      <c r="N20" s="1">
        <v>30</v>
      </c>
      <c r="O20" s="27">
        <f t="shared" si="2"/>
        <v>104576.04</v>
      </c>
      <c r="P20" s="27">
        <f>70362.9+2269.02+422.88+1395.86+16407.31+1437.79</f>
        <v>92295.76</v>
      </c>
      <c r="Q20" s="27">
        <f>4050.2+8230.08</f>
        <v>12280.279999999999</v>
      </c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11246.73</v>
      </c>
      <c r="P21" s="27">
        <v>11246.73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16</v>
      </c>
      <c r="I22" s="2">
        <v>8</v>
      </c>
      <c r="J22" s="26">
        <v>8</v>
      </c>
      <c r="K22" s="27">
        <f t="shared" si="1"/>
        <v>10677.800000000001</v>
      </c>
      <c r="L22" s="27">
        <v>10677.800000000001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29882.38</v>
      </c>
      <c r="P23" s="27">
        <f>6214.56+19172.32</f>
        <v>25386.880000000001</v>
      </c>
      <c r="Q23" s="27">
        <f>4495.5</f>
        <v>4495.5</v>
      </c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>
        <f t="shared" si="1"/>
        <v>0</v>
      </c>
      <c r="L26" s="27"/>
      <c r="M26" s="27"/>
      <c r="N26" s="1"/>
      <c r="O26" s="27">
        <f t="shared" si="2"/>
        <v>0</v>
      </c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28</v>
      </c>
      <c r="I27" s="40">
        <v>11</v>
      </c>
      <c r="J27" s="43">
        <v>11</v>
      </c>
      <c r="K27" s="27">
        <f t="shared" si="1"/>
        <v>13406.52</v>
      </c>
      <c r="L27" s="39">
        <v>8411.92</v>
      </c>
      <c r="M27" s="39">
        <v>4994.6000000000004</v>
      </c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6223.7300000000005</v>
      </c>
      <c r="L28" s="27">
        <f>4086.08+1226.35</f>
        <v>5312.43</v>
      </c>
      <c r="M28" s="27">
        <v>911.3</v>
      </c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21</v>
      </c>
      <c r="I29" s="1">
        <v>15</v>
      </c>
      <c r="J29" s="44">
        <v>18</v>
      </c>
      <c r="K29" s="27">
        <f t="shared" si="1"/>
        <v>30518.67</v>
      </c>
      <c r="L29" s="27">
        <v>18888.64</v>
      </c>
      <c r="M29" s="27">
        <v>11630.03</v>
      </c>
      <c r="N29" s="1">
        <v>6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43</v>
      </c>
      <c r="I31" s="1">
        <v>27</v>
      </c>
      <c r="J31" s="26">
        <v>33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28</v>
      </c>
      <c r="O31" s="27">
        <f t="shared" si="2"/>
        <v>86495.489999999991</v>
      </c>
      <c r="P31" s="27">
        <f>20737.96+17118.86+11854.68</f>
        <v>49711.5</v>
      </c>
      <c r="Q31" s="27">
        <f>5766.69+23775.75+7241.55</f>
        <v>36783.99</v>
      </c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15</v>
      </c>
      <c r="I33" s="2">
        <v>7</v>
      </c>
      <c r="J33" s="26">
        <v>7</v>
      </c>
      <c r="K33" s="27">
        <f t="shared" si="1"/>
        <v>6574.7</v>
      </c>
      <c r="L33" s="27">
        <v>6574.7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30</v>
      </c>
      <c r="I34" s="1">
        <v>22</v>
      </c>
      <c r="J34" s="26">
        <v>35</v>
      </c>
      <c r="K34" s="27">
        <f t="shared" si="1"/>
        <v>51354.42</v>
      </c>
      <c r="L34" s="27">
        <f>6122.51+3852.95+8502.89</f>
        <v>18478.349999999999</v>
      </c>
      <c r="M34" s="27">
        <v>32876.07</v>
      </c>
      <c r="N34" s="1">
        <v>15</v>
      </c>
      <c r="O34" s="27">
        <f t="shared" si="2"/>
        <v>67205.489999999991</v>
      </c>
      <c r="P34" s="27">
        <f>51128.02+2025.43</f>
        <v>53153.45</v>
      </c>
      <c r="Q34" s="27">
        <f>9307.63+4744.41</f>
        <v>14052.039999999999</v>
      </c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10</v>
      </c>
      <c r="I35" s="2">
        <v>2</v>
      </c>
      <c r="J35" s="26">
        <v>2</v>
      </c>
      <c r="K35" s="27">
        <f t="shared" si="1"/>
        <v>1380.75</v>
      </c>
      <c r="L35" s="27">
        <v>1380.75</v>
      </c>
      <c r="M35" s="27"/>
      <c r="N35" s="2">
        <v>4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22043.24</v>
      </c>
      <c r="P36" s="27">
        <f>16623.7+881</f>
        <v>17504.7</v>
      </c>
      <c r="Q36" s="27">
        <f>4538.54</f>
        <v>4538.54</v>
      </c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19</v>
      </c>
      <c r="I37" s="1">
        <v>3</v>
      </c>
      <c r="J37" s="26">
        <v>3</v>
      </c>
      <c r="K37" s="27">
        <f t="shared" si="1"/>
        <v>3106</v>
      </c>
      <c r="L37" s="27">
        <v>3106</v>
      </c>
      <c r="M37" s="27"/>
      <c r="N37" s="1">
        <v>8</v>
      </c>
      <c r="O37" s="27">
        <f t="shared" si="2"/>
        <v>19606.04</v>
      </c>
      <c r="P37" s="27">
        <v>19606.04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21</v>
      </c>
      <c r="I38" s="1">
        <v>12</v>
      </c>
      <c r="J38" s="26">
        <v>12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58772.23</v>
      </c>
      <c r="P38" s="27">
        <f>11156.02+2671.19+16630.01+2006.04</f>
        <v>32463.260000000002</v>
      </c>
      <c r="Q38" s="27">
        <f>1877.82+24431.15</f>
        <v>26308.97</v>
      </c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23</v>
      </c>
      <c r="I39" s="2">
        <v>13</v>
      </c>
      <c r="J39" s="26">
        <v>13</v>
      </c>
      <c r="K39" s="27">
        <f t="shared" si="1"/>
        <v>23264.6</v>
      </c>
      <c r="L39" s="27">
        <v>23264.6</v>
      </c>
      <c r="M39" s="27"/>
      <c r="N39" s="2">
        <v>6</v>
      </c>
      <c r="O39" s="27">
        <f t="shared" si="2"/>
        <v>26266</v>
      </c>
      <c r="P39" s="27">
        <v>26266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32</v>
      </c>
      <c r="I40" s="1">
        <v>22</v>
      </c>
      <c r="J40" s="26">
        <v>30</v>
      </c>
      <c r="K40" s="27">
        <f t="shared" si="1"/>
        <v>41933.47</v>
      </c>
      <c r="L40" s="27">
        <v>17627.599999999999</v>
      </c>
      <c r="M40" s="27">
        <v>24305.87</v>
      </c>
      <c r="N40" s="1">
        <v>16</v>
      </c>
      <c r="O40" s="27">
        <f t="shared" si="2"/>
        <v>46501.82</v>
      </c>
      <c r="P40" s="27">
        <f>28541.43+3370.36</f>
        <v>31911.79</v>
      </c>
      <c r="Q40" s="27">
        <f>8999.73+5590.3</f>
        <v>14590.029999999999</v>
      </c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13</v>
      </c>
      <c r="J41" s="26">
        <v>13</v>
      </c>
      <c r="K41" s="27">
        <f t="shared" si="1"/>
        <v>14835.5</v>
      </c>
      <c r="L41" s="27">
        <v>14835.5</v>
      </c>
      <c r="M41" s="27"/>
      <c r="N41" s="2">
        <v>14</v>
      </c>
      <c r="O41" s="27">
        <f t="shared" si="2"/>
        <v>31326</v>
      </c>
      <c r="P41" s="27">
        <v>31326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24</v>
      </c>
      <c r="I42" s="1">
        <v>15</v>
      </c>
      <c r="J42" s="26">
        <v>15</v>
      </c>
      <c r="K42" s="27">
        <f t="shared" si="1"/>
        <v>8916.02</v>
      </c>
      <c r="L42" s="27">
        <f>1131.2+4248.94</f>
        <v>5380.1399999999994</v>
      </c>
      <c r="M42" s="27">
        <v>3535.88</v>
      </c>
      <c r="N42" s="1">
        <v>7</v>
      </c>
      <c r="O42" s="27">
        <f t="shared" si="2"/>
        <v>14187.61</v>
      </c>
      <c r="P42" s="27">
        <f>4817.32+599.08+1497.7+2374.74</f>
        <v>9288.84</v>
      </c>
      <c r="Q42" s="27">
        <f>4898.77</f>
        <v>4898.7700000000004</v>
      </c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26</v>
      </c>
      <c r="I43" s="1">
        <v>7</v>
      </c>
      <c r="J43" s="26">
        <v>7</v>
      </c>
      <c r="K43" s="27">
        <f t="shared" si="1"/>
        <v>10461.5</v>
      </c>
      <c r="L43" s="27">
        <v>10461.5</v>
      </c>
      <c r="M43" s="27"/>
      <c r="N43" s="1">
        <v>9</v>
      </c>
      <c r="O43" s="27">
        <f t="shared" si="2"/>
        <v>21626.82</v>
      </c>
      <c r="P43" s="27">
        <v>21626.82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38</v>
      </c>
      <c r="I44" s="1"/>
      <c r="J44" s="26"/>
      <c r="K44" s="27">
        <f t="shared" si="1"/>
        <v>37101.449999999997</v>
      </c>
      <c r="L44" s="27">
        <v>15890.44</v>
      </c>
      <c r="M44" s="27">
        <v>21211.01</v>
      </c>
      <c r="N44" s="1"/>
      <c r="O44" s="27">
        <f t="shared" si="2"/>
        <v>26564.83</v>
      </c>
      <c r="P44" s="27">
        <v>24085.7</v>
      </c>
      <c r="Q44" s="27">
        <f>2479.13</f>
        <v>2479.13</v>
      </c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4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4050.2</v>
      </c>
      <c r="L47" s="27">
        <v>4050.2</v>
      </c>
      <c r="M47" s="27"/>
      <c r="N47" s="1">
        <v>7</v>
      </c>
      <c r="O47" s="27">
        <f t="shared" si="2"/>
        <v>8272.2999999999993</v>
      </c>
      <c r="P47" s="27">
        <v>8272.2999999999993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48533.119999999995</v>
      </c>
      <c r="P48" s="27">
        <f>22402.99+2762.46+2303.16</f>
        <v>27468.61</v>
      </c>
      <c r="Q48" s="27">
        <f>9005.39+3249.19+4970.7+1877.82+1961.41</f>
        <v>21064.51</v>
      </c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14</v>
      </c>
      <c r="I49" s="1">
        <v>3</v>
      </c>
      <c r="J49" s="26">
        <v>3</v>
      </c>
      <c r="K49" s="27">
        <f t="shared" si="1"/>
        <v>5839.92</v>
      </c>
      <c r="L49" s="27">
        <v>3534.72</v>
      </c>
      <c r="M49" s="27">
        <v>2305.2000000000003</v>
      </c>
      <c r="N49" s="1">
        <v>10</v>
      </c>
      <c r="O49" s="27">
        <f t="shared" si="2"/>
        <v>21365.43</v>
      </c>
      <c r="P49" s="27">
        <v>20020.73</v>
      </c>
      <c r="Q49" s="27">
        <v>1344.7000000000007</v>
      </c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24</v>
      </c>
      <c r="I50" s="1">
        <v>20</v>
      </c>
      <c r="J50" s="26">
        <v>21</v>
      </c>
      <c r="K50" s="27">
        <f t="shared" si="1"/>
        <v>25356.89</v>
      </c>
      <c r="L50" s="27">
        <f>8384.28+2921.04+4444.53</f>
        <v>15749.849999999999</v>
      </c>
      <c r="M50" s="27">
        <v>9607.0400000000009</v>
      </c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6</v>
      </c>
      <c r="J51" s="26">
        <v>6</v>
      </c>
      <c r="K51" s="27">
        <f>L51+M51</f>
        <v>13230.45</v>
      </c>
      <c r="L51" s="27">
        <v>13230.45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31025.68</v>
      </c>
      <c r="L52" s="27">
        <f>6913.6+7574.58</f>
        <v>14488.18</v>
      </c>
      <c r="M52" s="27">
        <v>16537.5</v>
      </c>
      <c r="N52" s="1">
        <v>8</v>
      </c>
      <c r="O52" s="27">
        <f t="shared" si="2"/>
        <v>41583.18</v>
      </c>
      <c r="P52" s="27">
        <f>21680.73+1973.37+10913.12</f>
        <v>34567.22</v>
      </c>
      <c r="Q52" s="27">
        <f>7015.96</f>
        <v>7015.96</v>
      </c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43</v>
      </c>
      <c r="I55" s="1">
        <v>27</v>
      </c>
      <c r="J55" s="26">
        <v>27</v>
      </c>
      <c r="K55" s="27">
        <f t="shared" si="1"/>
        <v>3401.55</v>
      </c>
      <c r="L55" s="27">
        <v>3401.55</v>
      </c>
      <c r="M55" s="27"/>
      <c r="N55" s="1">
        <v>14</v>
      </c>
      <c r="O55" s="27">
        <f t="shared" si="2"/>
        <v>132993.4</v>
      </c>
      <c r="P55" s="27">
        <v>77103.839999999997</v>
      </c>
      <c r="Q55" s="27">
        <f>4884.26+5990.8+13697.43+2292.82+29024.25</f>
        <v>55889.56</v>
      </c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5396.6</v>
      </c>
      <c r="L56" s="27">
        <v>5396.6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2430.12</v>
      </c>
      <c r="L57" s="27">
        <v>2430.12</v>
      </c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37</v>
      </c>
      <c r="I58" s="2">
        <v>30</v>
      </c>
      <c r="J58" s="26">
        <v>30</v>
      </c>
      <c r="K58" s="27">
        <f>L58+M58</f>
        <v>50458.5</v>
      </c>
      <c r="L58" s="27">
        <v>50458.5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61</v>
      </c>
      <c r="I61" s="26">
        <v>38</v>
      </c>
      <c r="J61" s="26">
        <v>43</v>
      </c>
      <c r="K61" s="27">
        <f t="shared" si="1"/>
        <v>66498.929999999993</v>
      </c>
      <c r="L61" s="85">
        <v>52775.63</v>
      </c>
      <c r="M61" s="85">
        <v>13723.3</v>
      </c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41</v>
      </c>
      <c r="I62" s="1">
        <v>32</v>
      </c>
      <c r="J62" s="26">
        <v>32</v>
      </c>
      <c r="K62" s="27">
        <f t="shared" si="1"/>
        <v>68695.87</v>
      </c>
      <c r="L62" s="27">
        <v>50815.1</v>
      </c>
      <c r="M62" s="27">
        <v>17880.77</v>
      </c>
      <c r="N62" s="1">
        <v>23</v>
      </c>
      <c r="O62" s="27">
        <f t="shared" si="2"/>
        <v>45428.729999999996</v>
      </c>
      <c r="P62" s="27">
        <f>28261.6+9001</f>
        <v>37262.6</v>
      </c>
      <c r="Q62" s="27">
        <f>5225.43+2940.7</f>
        <v>8166.13</v>
      </c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41</v>
      </c>
      <c r="I63" s="1">
        <v>29</v>
      </c>
      <c r="J63" s="26">
        <v>32</v>
      </c>
      <c r="K63" s="27">
        <f t="shared" si="1"/>
        <v>34743.509999999995</v>
      </c>
      <c r="L63" s="27">
        <f>12863.92+4313.38</f>
        <v>17177.3</v>
      </c>
      <c r="M63" s="27">
        <v>17566.21</v>
      </c>
      <c r="N63" s="1">
        <v>15</v>
      </c>
      <c r="O63" s="27">
        <f t="shared" si="2"/>
        <v>52558.11</v>
      </c>
      <c r="P63" s="27">
        <f>37111.35+7488.89</f>
        <v>44600.24</v>
      </c>
      <c r="Q63" s="27">
        <f>7957.87</f>
        <v>7957.87</v>
      </c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26</v>
      </c>
      <c r="I64" s="1">
        <v>7</v>
      </c>
      <c r="J64" s="26">
        <v>8</v>
      </c>
      <c r="K64" s="27">
        <f t="shared" si="1"/>
        <v>13257.8</v>
      </c>
      <c r="L64" s="27">
        <v>8263.2000000000007</v>
      </c>
      <c r="M64" s="27">
        <v>4994.5999999999985</v>
      </c>
      <c r="N64" s="1">
        <v>14</v>
      </c>
      <c r="O64" s="27">
        <f t="shared" si="2"/>
        <v>32954.9</v>
      </c>
      <c r="P64" s="27">
        <v>32954.9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31400.14</v>
      </c>
      <c r="L65" s="27">
        <v>20736.11</v>
      </c>
      <c r="M65" s="27">
        <v>10664.03</v>
      </c>
      <c r="N65" s="1">
        <v>23</v>
      </c>
      <c r="O65" s="27">
        <f t="shared" si="2"/>
        <v>80493.710000000006</v>
      </c>
      <c r="P65" s="27">
        <f>26863.22+11253.87+2546.79</f>
        <v>40663.880000000005</v>
      </c>
      <c r="Q65" s="27">
        <f>9762.06+3805.92+11044.03+13756.9+1460.92</f>
        <v>39829.83</v>
      </c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28</v>
      </c>
      <c r="I67" s="1">
        <v>16</v>
      </c>
      <c r="J67" s="26">
        <v>18</v>
      </c>
      <c r="K67" s="27">
        <f t="shared" si="1"/>
        <v>27274.25</v>
      </c>
      <c r="L67" s="27">
        <v>6395.62</v>
      </c>
      <c r="M67" s="27">
        <v>20878.63</v>
      </c>
      <c r="N67" s="1">
        <v>10</v>
      </c>
      <c r="O67" s="27">
        <f t="shared" si="2"/>
        <v>22241.07</v>
      </c>
      <c r="P67" s="27">
        <v>11007.39</v>
      </c>
      <c r="Q67" s="27">
        <f>4548.79+6684.89</f>
        <v>11233.68</v>
      </c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16</v>
      </c>
      <c r="J68" s="26">
        <v>16</v>
      </c>
      <c r="K68" s="27">
        <f t="shared" si="1"/>
        <v>14868.1</v>
      </c>
      <c r="L68" s="27">
        <f>14205.34</f>
        <v>14205.34</v>
      </c>
      <c r="M68" s="27">
        <v>662.76</v>
      </c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7</v>
      </c>
      <c r="O69" s="27">
        <f t="shared" si="2"/>
        <v>16873.05</v>
      </c>
      <c r="P69" s="27">
        <v>16873.05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37</v>
      </c>
      <c r="I70" s="1">
        <v>19</v>
      </c>
      <c r="J70" s="26">
        <v>23</v>
      </c>
      <c r="K70" s="27">
        <f t="shared" si="1"/>
        <v>24636.79</v>
      </c>
      <c r="L70" s="27">
        <v>17853.64</v>
      </c>
      <c r="M70" s="27">
        <v>6783.15</v>
      </c>
      <c r="N70" s="1">
        <v>13</v>
      </c>
      <c r="O70" s="27">
        <f t="shared" si="2"/>
        <v>25064.309999999998</v>
      </c>
      <c r="P70" s="27">
        <v>9835.58</v>
      </c>
      <c r="Q70" s="27">
        <f>2635.74+7253.45+5339.54</f>
        <v>15228.73</v>
      </c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15</v>
      </c>
      <c r="I71" s="2">
        <v>5</v>
      </c>
      <c r="J71" s="26">
        <v>5</v>
      </c>
      <c r="K71" s="27">
        <f t="shared" si="1"/>
        <v>4933.6000000000004</v>
      </c>
      <c r="L71" s="27">
        <v>4933.6000000000004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38</v>
      </c>
      <c r="I72" s="2">
        <v>28</v>
      </c>
      <c r="J72" s="26">
        <v>28</v>
      </c>
      <c r="K72" s="27">
        <f t="shared" si="1"/>
        <v>38640.449999999997</v>
      </c>
      <c r="L72" s="27">
        <v>14696.49</v>
      </c>
      <c r="M72" s="27">
        <v>23943.96</v>
      </c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65</v>
      </c>
      <c r="I73" s="1">
        <v>37</v>
      </c>
      <c r="J73" s="26">
        <v>38</v>
      </c>
      <c r="K73" s="27">
        <f t="shared" si="1"/>
        <v>38741.629999999997</v>
      </c>
      <c r="L73" s="27">
        <v>30810.21</v>
      </c>
      <c r="M73" s="27">
        <v>7931.42</v>
      </c>
      <c r="N73" s="1">
        <v>25</v>
      </c>
      <c r="O73" s="27">
        <f t="shared" si="2"/>
        <v>205302.68</v>
      </c>
      <c r="P73" s="27">
        <v>163872.71</v>
      </c>
      <c r="Q73" s="27">
        <f>3626.37+37803.6</f>
        <v>41429.97</v>
      </c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51</v>
      </c>
      <c r="I75" s="1">
        <v>38</v>
      </c>
      <c r="J75" s="26">
        <v>39</v>
      </c>
      <c r="K75" s="27">
        <f t="shared" si="1"/>
        <v>70150.51999999999</v>
      </c>
      <c r="L75" s="27">
        <v>26694.03</v>
      </c>
      <c r="M75" s="27">
        <v>43456.49</v>
      </c>
      <c r="N75" s="1">
        <v>13</v>
      </c>
      <c r="O75" s="27">
        <f t="shared" si="2"/>
        <v>56018.81</v>
      </c>
      <c r="P75" s="27">
        <v>40094.129999999997</v>
      </c>
      <c r="Q75" s="27">
        <f>14598.7+1325.98</f>
        <v>15924.68</v>
      </c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/>
      <c r="J76" s="26"/>
      <c r="K76" s="27">
        <f t="shared" ref="K76:K138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21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12</v>
      </c>
      <c r="O77" s="27">
        <f t="shared" si="4"/>
        <v>47402.14</v>
      </c>
      <c r="P77" s="27">
        <v>47402.14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5</v>
      </c>
      <c r="J78" s="26">
        <v>6</v>
      </c>
      <c r="K78" s="27">
        <f t="shared" si="3"/>
        <v>6478.74</v>
      </c>
      <c r="L78" s="27">
        <v>6478.74</v>
      </c>
      <c r="M78" s="27"/>
      <c r="N78" s="1">
        <v>10</v>
      </c>
      <c r="O78" s="27">
        <f t="shared" si="4"/>
        <v>44190.1</v>
      </c>
      <c r="P78" s="27">
        <v>44190.1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27</v>
      </c>
      <c r="I79" s="1">
        <v>18</v>
      </c>
      <c r="J79" s="26">
        <v>18</v>
      </c>
      <c r="K79" s="27">
        <f t="shared" si="3"/>
        <v>25768.78</v>
      </c>
      <c r="L79" s="27">
        <f>4400.6+4794.4</f>
        <v>9195</v>
      </c>
      <c r="M79" s="27">
        <v>16573.78</v>
      </c>
      <c r="N79" s="1">
        <v>21</v>
      </c>
      <c r="O79" s="27">
        <f t="shared" si="4"/>
        <v>84438.98</v>
      </c>
      <c r="P79" s="27">
        <v>67887.14</v>
      </c>
      <c r="Q79" s="27">
        <f>8549.12+2664.63+5338.09</f>
        <v>16551.84</v>
      </c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30</v>
      </c>
      <c r="I80" s="2">
        <v>9</v>
      </c>
      <c r="J80" s="26">
        <v>9</v>
      </c>
      <c r="K80" s="27">
        <f t="shared" si="3"/>
        <v>20311.099999999999</v>
      </c>
      <c r="L80" s="27">
        <v>20311.099999999999</v>
      </c>
      <c r="M80" s="27"/>
      <c r="N80" s="2">
        <v>16</v>
      </c>
      <c r="O80" s="27">
        <f t="shared" si="4"/>
        <v>92076.01</v>
      </c>
      <c r="P80" s="27">
        <v>92076.01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7</v>
      </c>
      <c r="O81" s="27">
        <f t="shared" si="4"/>
        <v>22375</v>
      </c>
      <c r="P81" s="27">
        <f>10043.4+8281.4</f>
        <v>18324.8</v>
      </c>
      <c r="Q81" s="27">
        <f>4050.2</f>
        <v>4050.2</v>
      </c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18</v>
      </c>
      <c r="I82" s="1">
        <v>4</v>
      </c>
      <c r="J82" s="26">
        <v>4</v>
      </c>
      <c r="K82" s="27">
        <f t="shared" si="3"/>
        <v>9717.2000000000007</v>
      </c>
      <c r="L82" s="27">
        <v>9717.2000000000007</v>
      </c>
      <c r="M82" s="27"/>
      <c r="N82" s="1">
        <v>15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25</v>
      </c>
      <c r="I83" s="1">
        <v>22</v>
      </c>
      <c r="J83" s="26">
        <v>24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2</v>
      </c>
      <c r="J84" s="26">
        <v>2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111</v>
      </c>
      <c r="I85" s="1">
        <v>75</v>
      </c>
      <c r="J85" s="26">
        <v>80</v>
      </c>
      <c r="K85" s="27">
        <f t="shared" si="3"/>
        <v>102901.72</v>
      </c>
      <c r="L85" s="27">
        <f>47012.42+1318.18</f>
        <v>48330.6</v>
      </c>
      <c r="M85" s="27">
        <v>54571.119999999995</v>
      </c>
      <c r="N85" s="1">
        <v>3</v>
      </c>
      <c r="O85" s="27">
        <f t="shared" si="4"/>
        <v>18544.34</v>
      </c>
      <c r="P85" s="27">
        <f>9777.93+2733.45</f>
        <v>12511.380000000001</v>
      </c>
      <c r="Q85" s="27">
        <f>6032.96</f>
        <v>6032.96</v>
      </c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5</v>
      </c>
      <c r="J86" s="43">
        <v>5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18814.5</v>
      </c>
      <c r="L87" s="27">
        <v>8041.41</v>
      </c>
      <c r="M87" s="27">
        <v>10773.09</v>
      </c>
      <c r="N87" s="1">
        <v>18</v>
      </c>
      <c r="O87" s="27">
        <f t="shared" si="4"/>
        <v>29684.1</v>
      </c>
      <c r="P87" s="27">
        <f>10572.76+9307.1</f>
        <v>19879.86</v>
      </c>
      <c r="Q87" s="27">
        <f>2622.13+7182.11</f>
        <v>9804.24</v>
      </c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58</v>
      </c>
      <c r="I89" s="1">
        <v>51</v>
      </c>
      <c r="J89" s="26">
        <v>53</v>
      </c>
      <c r="K89" s="27">
        <f t="shared" si="3"/>
        <v>86891.239999999991</v>
      </c>
      <c r="L89" s="27">
        <v>48423.27</v>
      </c>
      <c r="M89" s="27">
        <v>38467.969999999994</v>
      </c>
      <c r="N89" s="1">
        <v>22</v>
      </c>
      <c r="O89" s="27">
        <f t="shared" si="4"/>
        <v>83766.290000000008</v>
      </c>
      <c r="P89" s="27">
        <f>28719.49+11418.7</f>
        <v>40138.19</v>
      </c>
      <c r="Q89" s="27">
        <f>1050.57+31536.27+7716.16+1245.14+2079.96</f>
        <v>43628.1</v>
      </c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11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23</v>
      </c>
      <c r="I94" s="2">
        <v>9</v>
      </c>
      <c r="J94" s="26">
        <v>10</v>
      </c>
      <c r="K94" s="27">
        <f t="shared" si="3"/>
        <v>17475.57</v>
      </c>
      <c r="L94" s="27">
        <v>10325.33</v>
      </c>
      <c r="M94" s="27">
        <v>7150.24</v>
      </c>
      <c r="N94" s="2">
        <v>9</v>
      </c>
      <c r="O94" s="27">
        <f t="shared" si="4"/>
        <v>16006.150000000001</v>
      </c>
      <c r="P94" s="27">
        <v>14029.19</v>
      </c>
      <c r="Q94" s="27">
        <v>1976.96</v>
      </c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8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29345.71</v>
      </c>
      <c r="P95" s="27">
        <v>29345.71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18</v>
      </c>
      <c r="I98" s="1">
        <v>14</v>
      </c>
      <c r="J98" s="26">
        <v>16</v>
      </c>
      <c r="K98" s="27">
        <f t="shared" si="3"/>
        <v>27955.62</v>
      </c>
      <c r="L98" s="27">
        <f>2262.4+4502.35</f>
        <v>6764.75</v>
      </c>
      <c r="M98" s="27">
        <v>21190.87</v>
      </c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16621.129999999997</v>
      </c>
      <c r="P99" s="27">
        <v>10878.949999999999</v>
      </c>
      <c r="Q99" s="27">
        <v>5742.18</v>
      </c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6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38</v>
      </c>
      <c r="I104" s="1">
        <v>27</v>
      </c>
      <c r="J104" s="26">
        <v>28</v>
      </c>
      <c r="K104" s="27">
        <f t="shared" si="3"/>
        <v>28474.95</v>
      </c>
      <c r="L104" s="27">
        <v>11380.77</v>
      </c>
      <c r="M104" s="27">
        <v>17094.18</v>
      </c>
      <c r="N104" s="1">
        <v>12</v>
      </c>
      <c r="O104" s="27">
        <f t="shared" si="4"/>
        <v>45390.47</v>
      </c>
      <c r="P104" s="27">
        <v>45390.47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30</v>
      </c>
      <c r="I105" s="1">
        <v>25</v>
      </c>
      <c r="J105" s="26">
        <v>26</v>
      </c>
      <c r="K105" s="27">
        <f t="shared" si="3"/>
        <v>29775.91</v>
      </c>
      <c r="L105" s="27">
        <f>19305.63+3508.58</f>
        <v>22814.21</v>
      </c>
      <c r="M105" s="27">
        <v>6961.7</v>
      </c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8</v>
      </c>
      <c r="J106" s="26">
        <v>8</v>
      </c>
      <c r="K106" s="27">
        <f t="shared" si="3"/>
        <v>7684.8</v>
      </c>
      <c r="L106" s="27">
        <v>7684.8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33</v>
      </c>
      <c r="I107" s="1">
        <v>18</v>
      </c>
      <c r="J107" s="26">
        <v>19</v>
      </c>
      <c r="K107" s="27">
        <f t="shared" si="3"/>
        <v>43495.06</v>
      </c>
      <c r="L107" s="27">
        <v>43495.06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22</v>
      </c>
      <c r="J108" s="26">
        <v>29</v>
      </c>
      <c r="K108" s="27">
        <f t="shared" si="3"/>
        <v>26547.97</v>
      </c>
      <c r="L108" s="27">
        <v>20898.5</v>
      </c>
      <c r="M108" s="27">
        <v>5649.47</v>
      </c>
      <c r="N108" s="1">
        <v>29</v>
      </c>
      <c r="O108" s="27">
        <f t="shared" si="4"/>
        <v>132494.66999999998</v>
      </c>
      <c r="P108" s="27">
        <f>98217.49+1416.65+9719.87</f>
        <v>109354.01</v>
      </c>
      <c r="Q108" s="27">
        <f>1373.63+1472.8+3802.52+1831.5+2036.66+12623.55</f>
        <v>23140.66</v>
      </c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46</v>
      </c>
      <c r="I109" s="1">
        <v>19</v>
      </c>
      <c r="J109" s="26">
        <v>19</v>
      </c>
      <c r="K109" s="27">
        <f t="shared" si="3"/>
        <v>50197.1</v>
      </c>
      <c r="L109" s="27">
        <v>50197.1</v>
      </c>
      <c r="M109" s="27"/>
      <c r="N109" s="1">
        <v>23</v>
      </c>
      <c r="O109" s="27">
        <f t="shared" si="4"/>
        <v>45812.2</v>
      </c>
      <c r="P109" s="27">
        <v>45812.2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54</v>
      </c>
      <c r="I110" s="2">
        <v>29</v>
      </c>
      <c r="J110" s="26">
        <v>29</v>
      </c>
      <c r="K110" s="27">
        <f t="shared" si="3"/>
        <v>35249.67</v>
      </c>
      <c r="L110" s="27">
        <v>35249.67</v>
      </c>
      <c r="M110" s="27"/>
      <c r="N110" s="2">
        <v>35</v>
      </c>
      <c r="O110" s="27">
        <f t="shared" si="4"/>
        <v>121253.99</v>
      </c>
      <c r="P110" s="35">
        <v>121253.99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32689</v>
      </c>
      <c r="P112" s="27">
        <v>32689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5</v>
      </c>
      <c r="J113" s="26">
        <v>5</v>
      </c>
      <c r="K113" s="27">
        <f t="shared" si="3"/>
        <v>11863.8</v>
      </c>
      <c r="L113" s="27">
        <v>11863.8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50</v>
      </c>
      <c r="I114" s="2">
        <v>34</v>
      </c>
      <c r="J114" s="26">
        <v>40</v>
      </c>
      <c r="K114" s="27">
        <f t="shared" si="3"/>
        <v>45364.479999999996</v>
      </c>
      <c r="L114" s="27">
        <v>28848.63</v>
      </c>
      <c r="M114" s="27">
        <v>16515.849999999999</v>
      </c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26</v>
      </c>
      <c r="I115" s="2">
        <v>10</v>
      </c>
      <c r="J115" s="26">
        <v>10</v>
      </c>
      <c r="K115" s="27">
        <f t="shared" si="3"/>
        <v>10849.55</v>
      </c>
      <c r="L115" s="27">
        <v>10849.55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23</v>
      </c>
      <c r="I116" s="2">
        <v>14</v>
      </c>
      <c r="J116" s="26">
        <v>14</v>
      </c>
      <c r="K116" s="27">
        <f t="shared" si="3"/>
        <v>21586.5</v>
      </c>
      <c r="L116" s="27">
        <v>21586.5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43</v>
      </c>
      <c r="I117" s="1">
        <v>36</v>
      </c>
      <c r="J117" s="26">
        <v>40</v>
      </c>
      <c r="K117" s="27">
        <f t="shared" si="3"/>
        <v>42958.59</v>
      </c>
      <c r="L117" s="27">
        <f>26169.39+3466.71</f>
        <v>29636.1</v>
      </c>
      <c r="M117" s="27">
        <v>13322.49</v>
      </c>
      <c r="N117" s="1">
        <v>12</v>
      </c>
      <c r="O117" s="27">
        <f t="shared" si="4"/>
        <v>54782.65</v>
      </c>
      <c r="P117" s="27">
        <f>40874.75+8282.32+1813.22</f>
        <v>50970.29</v>
      </c>
      <c r="Q117" s="27">
        <f>3812.36</f>
        <v>3812.36</v>
      </c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40</v>
      </c>
      <c r="I121" s="1">
        <v>29</v>
      </c>
      <c r="J121" s="26">
        <v>34</v>
      </c>
      <c r="K121" s="27">
        <f t="shared" si="3"/>
        <v>34213.17</v>
      </c>
      <c r="L121" s="27">
        <f>23252.01+1197.18+2019.81</f>
        <v>26469</v>
      </c>
      <c r="M121" s="27">
        <v>7744.17</v>
      </c>
      <c r="N121" s="1">
        <v>16</v>
      </c>
      <c r="O121" s="27">
        <f t="shared" si="4"/>
        <v>63565.1</v>
      </c>
      <c r="P121" s="27">
        <f>40384.42+1347.93</f>
        <v>41732.35</v>
      </c>
      <c r="Q121" s="27">
        <f>1919.19+19913.56</f>
        <v>21832.75</v>
      </c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40</v>
      </c>
      <c r="I123" s="1">
        <v>25</v>
      </c>
      <c r="J123" s="26">
        <v>27</v>
      </c>
      <c r="K123" s="27">
        <f t="shared" si="3"/>
        <v>21123.360000000001</v>
      </c>
      <c r="L123" s="27">
        <v>9765.89</v>
      </c>
      <c r="M123" s="27">
        <v>11357.47</v>
      </c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35</v>
      </c>
      <c r="I125" s="1">
        <v>15</v>
      </c>
      <c r="J125" s="26">
        <v>15</v>
      </c>
      <c r="K125" s="27">
        <f t="shared" si="3"/>
        <v>32498.55</v>
      </c>
      <c r="L125" s="27">
        <v>32498.55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25</v>
      </c>
      <c r="I127" s="1">
        <v>11</v>
      </c>
      <c r="J127" s="26">
        <v>11</v>
      </c>
      <c r="K127" s="27">
        <f t="shared" si="3"/>
        <v>7398.4</v>
      </c>
      <c r="L127" s="27">
        <v>1899.08</v>
      </c>
      <c r="M127" s="27">
        <v>5499.32</v>
      </c>
      <c r="N127" s="1">
        <v>6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8</v>
      </c>
      <c r="I128" s="1">
        <v>1</v>
      </c>
      <c r="J128" s="26">
        <v>1</v>
      </c>
      <c r="K128" s="27">
        <f t="shared" si="3"/>
        <v>2393.3000000000002</v>
      </c>
      <c r="L128" s="27">
        <v>2393.3000000000002</v>
      </c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37</v>
      </c>
      <c r="I129" s="1">
        <v>31</v>
      </c>
      <c r="J129" s="26">
        <v>32</v>
      </c>
      <c r="K129" s="27">
        <f t="shared" si="3"/>
        <v>22582.82</v>
      </c>
      <c r="L129" s="27">
        <v>14700.02</v>
      </c>
      <c r="M129" s="27">
        <v>7882.7999999999993</v>
      </c>
      <c r="N129" s="1">
        <v>12</v>
      </c>
      <c r="O129" s="27">
        <f t="shared" si="4"/>
        <v>68966.600000000006</v>
      </c>
      <c r="P129" s="27">
        <v>57464.03</v>
      </c>
      <c r="Q129" s="27">
        <f>11502.57</f>
        <v>11502.57</v>
      </c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5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74</v>
      </c>
      <c r="I131" s="1">
        <v>67</v>
      </c>
      <c r="J131" s="26">
        <v>69</v>
      </c>
      <c r="K131" s="27">
        <f t="shared" si="3"/>
        <v>64822.77</v>
      </c>
      <c r="L131" s="27">
        <f>39337.34+7241.82</f>
        <v>46579.159999999996</v>
      </c>
      <c r="M131" s="27">
        <v>18243.61</v>
      </c>
      <c r="N131" s="1">
        <v>16</v>
      </c>
      <c r="O131" s="27">
        <f t="shared" si="4"/>
        <v>45943.19</v>
      </c>
      <c r="P131" s="27">
        <f>28101.13+1617.52</f>
        <v>29718.65</v>
      </c>
      <c r="Q131" s="27">
        <f>12329.05+2520.03+312.97+1062.49</f>
        <v>16224.539999999999</v>
      </c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32</v>
      </c>
      <c r="I133" s="1">
        <v>23</v>
      </c>
      <c r="J133" s="26">
        <v>26</v>
      </c>
      <c r="K133" s="27">
        <f t="shared" si="3"/>
        <v>40540.71</v>
      </c>
      <c r="L133" s="27">
        <f>15295.92+4938.67+12483.19</f>
        <v>32717.78</v>
      </c>
      <c r="M133" s="27">
        <v>7822.93</v>
      </c>
      <c r="N133" s="1">
        <v>14</v>
      </c>
      <c r="O133" s="27">
        <f t="shared" si="4"/>
        <v>36863.08</v>
      </c>
      <c r="P133" s="27">
        <v>19788.560000000001</v>
      </c>
      <c r="Q133" s="27">
        <f>1893.47+15181.05</f>
        <v>17074.52</v>
      </c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40</v>
      </c>
      <c r="I135" s="1">
        <v>30</v>
      </c>
      <c r="J135" s="26">
        <v>37</v>
      </c>
      <c r="K135" s="27">
        <f t="shared" si="3"/>
        <v>40898.479999999996</v>
      </c>
      <c r="L135" s="27">
        <f>7290.74+3145.29</f>
        <v>10436.029999999999</v>
      </c>
      <c r="M135" s="27">
        <v>30462.449999999997</v>
      </c>
      <c r="N135" s="1">
        <v>29</v>
      </c>
      <c r="O135" s="27">
        <f t="shared" si="4"/>
        <v>67358.649999999994</v>
      </c>
      <c r="P135" s="27">
        <f>35519.81+1416.65</f>
        <v>36936.46</v>
      </c>
      <c r="Q135" s="27">
        <f>1233.4+18160.63+6346.03+4682.13</f>
        <v>30422.190000000002</v>
      </c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23</v>
      </c>
      <c r="J136" s="26">
        <v>23</v>
      </c>
      <c r="K136" s="27">
        <f t="shared" si="3"/>
        <v>46092.42</v>
      </c>
      <c r="L136" s="27">
        <v>46092.42</v>
      </c>
      <c r="M136" s="27"/>
      <c r="N136" s="1">
        <v>23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45</v>
      </c>
      <c r="I137" s="1">
        <v>31</v>
      </c>
      <c r="J137" s="26">
        <v>40</v>
      </c>
      <c r="K137" s="27">
        <f t="shared" si="3"/>
        <v>58661.619999999995</v>
      </c>
      <c r="L137" s="27">
        <v>17808.48</v>
      </c>
      <c r="M137" s="27">
        <v>40853.14</v>
      </c>
      <c r="N137" s="1">
        <v>17</v>
      </c>
      <c r="O137" s="27">
        <f t="shared" si="4"/>
        <v>58213.34</v>
      </c>
      <c r="P137" s="27">
        <f>44051.35+2659.17</f>
        <v>46710.52</v>
      </c>
      <c r="Q137" s="27">
        <f>4602.5+515.48+5486.22+898.62</f>
        <v>11502.820000000002</v>
      </c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5</v>
      </c>
      <c r="J138" s="26">
        <v>5</v>
      </c>
      <c r="K138" s="27">
        <f t="shared" si="3"/>
        <v>2466.8000000000002</v>
      </c>
      <c r="L138" s="27">
        <v>2466.8000000000002</v>
      </c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>L139+M139</f>
        <v>0</v>
      </c>
      <c r="L139" s="27"/>
      <c r="M139" s="27"/>
      <c r="N139" s="1">
        <v>4</v>
      </c>
      <c r="O139" s="27">
        <f t="shared" si="4"/>
        <v>8989.65</v>
      </c>
      <c r="P139" s="27">
        <f>1564.44+1165.81</f>
        <v>2730.25</v>
      </c>
      <c r="Q139" s="27">
        <f>2025.1+4234.3</f>
        <v>6259.4</v>
      </c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43</v>
      </c>
      <c r="I140" s="1">
        <v>15</v>
      </c>
      <c r="J140" s="44">
        <v>16</v>
      </c>
      <c r="K140" s="27">
        <f t="shared" ref="K140:K206" si="5">L140+M140</f>
        <v>21269.7</v>
      </c>
      <c r="L140" s="27">
        <v>21269.7</v>
      </c>
      <c r="M140" s="27"/>
      <c r="N140" s="1">
        <v>10</v>
      </c>
      <c r="O140" s="27">
        <f t="shared" ref="O140:O203" si="6">P140+Q140</f>
        <v>19270.080000000002</v>
      </c>
      <c r="P140" s="27">
        <v>19270.080000000002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32</v>
      </c>
      <c r="I141" s="1">
        <v>21</v>
      </c>
      <c r="J141" s="26">
        <v>21</v>
      </c>
      <c r="K141" s="27">
        <f>L141+M141</f>
        <v>21246.91</v>
      </c>
      <c r="L141" s="27">
        <f>8817.93+8465.25</f>
        <v>17283.18</v>
      </c>
      <c r="M141" s="27">
        <v>3963.73</v>
      </c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23</v>
      </c>
      <c r="I142" s="1">
        <v>6</v>
      </c>
      <c r="J142" s="26">
        <v>6</v>
      </c>
      <c r="K142" s="27">
        <f t="shared" si="5"/>
        <v>3473.85</v>
      </c>
      <c r="L142" s="27">
        <v>1841</v>
      </c>
      <c r="M142" s="27">
        <v>1632.85</v>
      </c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18</v>
      </c>
      <c r="I143" s="1">
        <v>15</v>
      </c>
      <c r="J143" s="26">
        <v>15</v>
      </c>
      <c r="K143" s="27">
        <f t="shared" si="5"/>
        <v>20836.29</v>
      </c>
      <c r="L143" s="27">
        <f>2471.02+2848.63+3777.77</f>
        <v>9097.42</v>
      </c>
      <c r="M143" s="27">
        <v>11738.87</v>
      </c>
      <c r="N143" s="1">
        <v>6</v>
      </c>
      <c r="O143" s="27">
        <f t="shared" si="6"/>
        <v>111471.6</v>
      </c>
      <c r="P143" s="27">
        <f>10093.58+4307.03+88100</f>
        <v>102500.61</v>
      </c>
      <c r="Q143" s="27">
        <f>8970.99</f>
        <v>8970.99</v>
      </c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39</v>
      </c>
      <c r="I144" s="1">
        <v>30</v>
      </c>
      <c r="J144" s="26">
        <v>48</v>
      </c>
      <c r="K144" s="27">
        <f t="shared" si="5"/>
        <v>35160.980000000003</v>
      </c>
      <c r="L144" s="27">
        <v>872.19</v>
      </c>
      <c r="M144" s="27">
        <v>34288.79</v>
      </c>
      <c r="N144" s="1">
        <v>26</v>
      </c>
      <c r="O144" s="27">
        <f t="shared" si="6"/>
        <v>68350.549999999988</v>
      </c>
      <c r="P144" s="27">
        <v>57313.77</v>
      </c>
      <c r="Q144" s="27">
        <f>516.4+5454.5+5065.88</f>
        <v>11036.779999999999</v>
      </c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2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3538.8</v>
      </c>
      <c r="P145" s="27">
        <v>3538.8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20</v>
      </c>
      <c r="I148" s="1">
        <v>3</v>
      </c>
      <c r="J148" s="26">
        <v>3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17</v>
      </c>
      <c r="J149" s="26">
        <v>19</v>
      </c>
      <c r="K149" s="27">
        <f t="shared" si="5"/>
        <v>17648.68</v>
      </c>
      <c r="L149" s="27">
        <f>2702.63+3967.63+3538.93</f>
        <v>10209.19</v>
      </c>
      <c r="M149" s="27">
        <v>7439.49</v>
      </c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7</v>
      </c>
      <c r="J151" s="26">
        <v>9</v>
      </c>
      <c r="K151" s="27">
        <f t="shared" si="5"/>
        <v>21115.01</v>
      </c>
      <c r="L151" s="27">
        <v>21115.01</v>
      </c>
      <c r="M151" s="27"/>
      <c r="N151" s="1">
        <v>7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55</v>
      </c>
      <c r="I152" s="1">
        <v>37</v>
      </c>
      <c r="J152" s="26">
        <v>58</v>
      </c>
      <c r="K152" s="27">
        <f t="shared" si="5"/>
        <v>80874.55</v>
      </c>
      <c r="L152" s="27">
        <f>39751.32+18628.45</f>
        <v>58379.770000000004</v>
      </c>
      <c r="M152" s="27">
        <v>22494.78</v>
      </c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6</v>
      </c>
      <c r="J153" s="26">
        <v>6</v>
      </c>
      <c r="K153" s="27">
        <f t="shared" si="5"/>
        <v>16740.8</v>
      </c>
      <c r="L153" s="27">
        <v>16740.8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17</v>
      </c>
      <c r="I155" s="1">
        <v>8</v>
      </c>
      <c r="J155" s="26">
        <v>8</v>
      </c>
      <c r="K155" s="27">
        <f t="shared" si="5"/>
        <v>13204.079999999998</v>
      </c>
      <c r="L155" s="27">
        <v>10994.88</v>
      </c>
      <c r="M155" s="27">
        <v>2209.1999999999998</v>
      </c>
      <c r="N155" s="1">
        <v>4</v>
      </c>
      <c r="O155" s="27">
        <f t="shared" si="6"/>
        <v>17000.16</v>
      </c>
      <c r="P155" s="27">
        <v>7739.93</v>
      </c>
      <c r="Q155" s="27">
        <f>7492.87+1767.36</f>
        <v>9260.23</v>
      </c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28</v>
      </c>
      <c r="I157" s="1">
        <v>10</v>
      </c>
      <c r="J157" s="26">
        <v>10</v>
      </c>
      <c r="K157" s="27">
        <f t="shared" si="5"/>
        <v>20005.8</v>
      </c>
      <c r="L157" s="27">
        <v>20005.8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16</v>
      </c>
      <c r="I158" s="1">
        <v>8</v>
      </c>
      <c r="J158" s="26">
        <v>8</v>
      </c>
      <c r="K158" s="27">
        <f t="shared" si="5"/>
        <v>14370.38</v>
      </c>
      <c r="L158" s="27">
        <v>14370.38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34</v>
      </c>
      <c r="I160" s="1">
        <v>31</v>
      </c>
      <c r="J160" s="26">
        <v>33</v>
      </c>
      <c r="K160" s="27">
        <f t="shared" si="5"/>
        <v>37106.479999999996</v>
      </c>
      <c r="L160" s="27">
        <v>27886.37</v>
      </c>
      <c r="M160" s="27">
        <v>9220.11</v>
      </c>
      <c r="N160" s="1">
        <v>10</v>
      </c>
      <c r="O160" s="27">
        <f t="shared" si="6"/>
        <v>45190.87</v>
      </c>
      <c r="P160" s="27">
        <v>40147.51</v>
      </c>
      <c r="Q160" s="27">
        <f>5043.36</f>
        <v>5043.3599999999997</v>
      </c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3783.84</v>
      </c>
      <c r="P161" s="27">
        <v>1923.17</v>
      </c>
      <c r="Q161" s="27">
        <v>1860.67</v>
      </c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14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29</v>
      </c>
      <c r="I168" s="40">
        <v>17</v>
      </c>
      <c r="J168" s="43">
        <v>19</v>
      </c>
      <c r="K168" s="27">
        <f t="shared" si="5"/>
        <v>21083.89</v>
      </c>
      <c r="L168" s="39">
        <v>13931.98</v>
      </c>
      <c r="M168" s="39">
        <v>7151.91</v>
      </c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35</v>
      </c>
      <c r="I169" s="1">
        <v>11</v>
      </c>
      <c r="J169" s="26">
        <v>11</v>
      </c>
      <c r="K169" s="27">
        <f t="shared" si="5"/>
        <v>22626.52</v>
      </c>
      <c r="L169" s="27">
        <v>22626.52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4531.3999999999996</v>
      </c>
      <c r="L170" s="27">
        <v>4531.3999999999996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9</v>
      </c>
      <c r="I171" s="1">
        <v>5</v>
      </c>
      <c r="J171" s="26">
        <v>5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29</v>
      </c>
      <c r="I173" s="1">
        <v>13</v>
      </c>
      <c r="J173" s="26">
        <v>13</v>
      </c>
      <c r="K173" s="27">
        <f t="shared" si="5"/>
        <v>13352.4</v>
      </c>
      <c r="L173" s="27">
        <v>13352.4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14</v>
      </c>
      <c r="J174" s="26">
        <v>14</v>
      </c>
      <c r="K174" s="27">
        <f t="shared" si="5"/>
        <v>39983.660000000003</v>
      </c>
      <c r="L174" s="27">
        <v>39983.660000000003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6</v>
      </c>
      <c r="J175" s="26">
        <v>7</v>
      </c>
      <c r="K175" s="27">
        <f t="shared" si="5"/>
        <v>12397.55</v>
      </c>
      <c r="L175" s="27">
        <v>12397.55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9395.39</v>
      </c>
      <c r="L176" s="27"/>
      <c r="M176" s="27">
        <v>9395.39</v>
      </c>
      <c r="N176" s="1">
        <v>1</v>
      </c>
      <c r="O176" s="27">
        <f t="shared" si="6"/>
        <v>25657.810000000005</v>
      </c>
      <c r="P176" s="27">
        <v>23296.730000000003</v>
      </c>
      <c r="Q176" s="27">
        <f>2361.08</f>
        <v>2361.08</v>
      </c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17</v>
      </c>
      <c r="J177" s="26">
        <v>26</v>
      </c>
      <c r="K177" s="27">
        <f t="shared" si="5"/>
        <v>16358.07</v>
      </c>
      <c r="L177" s="27">
        <v>10611.5</v>
      </c>
      <c r="M177" s="27">
        <v>5746.57</v>
      </c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4648.6000000000004</v>
      </c>
      <c r="L180" s="27"/>
      <c r="M180" s="27">
        <v>4648.6000000000004</v>
      </c>
      <c r="N180" s="1">
        <v>10</v>
      </c>
      <c r="O180" s="27">
        <f t="shared" si="6"/>
        <v>18529.57</v>
      </c>
      <c r="P180" s="27">
        <v>12101.07</v>
      </c>
      <c r="Q180" s="27">
        <f>2202.5+4226</f>
        <v>6428.5</v>
      </c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15</v>
      </c>
      <c r="J181" s="26">
        <v>15</v>
      </c>
      <c r="K181" s="27">
        <f t="shared" si="5"/>
        <v>24176.3</v>
      </c>
      <c r="L181" s="27">
        <v>24176.3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51</v>
      </c>
      <c r="J182" s="26">
        <v>52</v>
      </c>
      <c r="K182" s="27">
        <f t="shared" si="5"/>
        <v>49416.45</v>
      </c>
      <c r="L182" s="27">
        <f>18249.71+2079.16</f>
        <v>20328.87</v>
      </c>
      <c r="M182" s="27">
        <v>29087.58</v>
      </c>
      <c r="N182" s="1">
        <v>9</v>
      </c>
      <c r="O182" s="27">
        <f t="shared" si="6"/>
        <v>112540.69</v>
      </c>
      <c r="P182" s="27">
        <v>106471.7</v>
      </c>
      <c r="Q182" s="27">
        <f>3602.05+2466.94</f>
        <v>6068.99</v>
      </c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13</v>
      </c>
      <c r="J183" s="26">
        <v>13</v>
      </c>
      <c r="K183" s="27">
        <f t="shared" si="5"/>
        <v>19546.5</v>
      </c>
      <c r="L183" s="27">
        <v>19546.5</v>
      </c>
      <c r="M183" s="27"/>
      <c r="N183" s="1">
        <v>8</v>
      </c>
      <c r="O183" s="27">
        <f t="shared" si="6"/>
        <v>16713.62</v>
      </c>
      <c r="P183" s="27">
        <v>16713.62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66</v>
      </c>
      <c r="I184" s="1">
        <v>46</v>
      </c>
      <c r="J184" s="26">
        <v>48</v>
      </c>
      <c r="K184" s="27">
        <f t="shared" si="5"/>
        <v>49958.03</v>
      </c>
      <c r="L184" s="27"/>
      <c r="M184" s="27">
        <v>49958.03</v>
      </c>
      <c r="N184" s="1">
        <v>4</v>
      </c>
      <c r="O184" s="27">
        <f t="shared" si="6"/>
        <v>24743.9</v>
      </c>
      <c r="P184" s="27">
        <v>24743.9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81</v>
      </c>
      <c r="I185" s="1">
        <v>70</v>
      </c>
      <c r="J185" s="26">
        <v>70</v>
      </c>
      <c r="K185" s="27">
        <f t="shared" si="5"/>
        <v>50080.44</v>
      </c>
      <c r="L185" s="27">
        <f>11917.66+14999.84</f>
        <v>26917.5</v>
      </c>
      <c r="M185" s="27">
        <v>23162.940000000002</v>
      </c>
      <c r="N185" s="1">
        <v>19</v>
      </c>
      <c r="O185" s="27">
        <f t="shared" si="6"/>
        <v>114375.64</v>
      </c>
      <c r="P185" s="27">
        <f>98283.26+14260.88</f>
        <v>112544.14</v>
      </c>
      <c r="Q185" s="27">
        <f>1831.5</f>
        <v>1831.5</v>
      </c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43</v>
      </c>
      <c r="I186" s="1">
        <v>18</v>
      </c>
      <c r="J186" s="44">
        <v>18</v>
      </c>
      <c r="K186" s="27">
        <f t="shared" si="5"/>
        <v>33459.919999999998</v>
      </c>
      <c r="L186" s="27">
        <v>33459.919999999998</v>
      </c>
      <c r="M186" s="27"/>
      <c r="N186" s="1">
        <v>24</v>
      </c>
      <c r="O186" s="27">
        <f t="shared" si="6"/>
        <v>48701.81</v>
      </c>
      <c r="P186" s="27">
        <v>48701.81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12</v>
      </c>
      <c r="I187" s="1">
        <v>7</v>
      </c>
      <c r="J187" s="26">
        <v>8</v>
      </c>
      <c r="K187" s="27">
        <f t="shared" si="5"/>
        <v>5167.07</v>
      </c>
      <c r="L187" s="27"/>
      <c r="M187" s="27">
        <v>5167.07</v>
      </c>
      <c r="N187" s="1">
        <v>11</v>
      </c>
      <c r="O187" s="27">
        <f t="shared" si="6"/>
        <v>50932.630000000005</v>
      </c>
      <c r="P187" s="27">
        <v>27541.74</v>
      </c>
      <c r="Q187" s="27">
        <f>4091.72+19299.17</f>
        <v>23390.89</v>
      </c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9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4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30</v>
      </c>
      <c r="I189" s="38">
        <v>11</v>
      </c>
      <c r="J189" s="43">
        <v>11</v>
      </c>
      <c r="K189" s="27">
        <f t="shared" si="5"/>
        <v>8284.5</v>
      </c>
      <c r="L189" s="39">
        <v>5707.1</v>
      </c>
      <c r="M189" s="39">
        <v>2577.3999999999996</v>
      </c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16</v>
      </c>
      <c r="J191" s="26">
        <v>17</v>
      </c>
      <c r="K191" s="27">
        <f t="shared" si="5"/>
        <v>54781.25</v>
      </c>
      <c r="L191" s="27">
        <v>39740.46</v>
      </c>
      <c r="M191" s="27">
        <v>15040.79</v>
      </c>
      <c r="N191" s="1">
        <v>21</v>
      </c>
      <c r="O191" s="27">
        <f t="shared" si="6"/>
        <v>97250.559999999998</v>
      </c>
      <c r="P191" s="27">
        <v>95961.86</v>
      </c>
      <c r="Q191" s="27">
        <v>1288.6999999999971</v>
      </c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14</v>
      </c>
      <c r="I192" s="1">
        <v>7</v>
      </c>
      <c r="J192" s="26">
        <v>8</v>
      </c>
      <c r="K192" s="27">
        <f t="shared" si="5"/>
        <v>7254.22</v>
      </c>
      <c r="L192" s="27">
        <f>3161.03+2572.52</f>
        <v>5733.55</v>
      </c>
      <c r="M192" s="27">
        <v>1520.67</v>
      </c>
      <c r="N192" s="1">
        <v>6</v>
      </c>
      <c r="O192" s="27">
        <f t="shared" si="6"/>
        <v>33166.78</v>
      </c>
      <c r="P192" s="27">
        <f>12416.6+3450</f>
        <v>15866.6</v>
      </c>
      <c r="Q192" s="27">
        <f>8276.22+5866.19+3157.77</f>
        <v>17300.18</v>
      </c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16</v>
      </c>
      <c r="I193" s="2">
        <v>8</v>
      </c>
      <c r="J193" s="26">
        <v>8</v>
      </c>
      <c r="K193" s="27">
        <f t="shared" si="5"/>
        <v>25867.96</v>
      </c>
      <c r="L193" s="27">
        <v>25867.96</v>
      </c>
      <c r="M193" s="27"/>
      <c r="N193" s="2">
        <v>7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45</v>
      </c>
      <c r="I194" s="2">
        <v>43</v>
      </c>
      <c r="J194" s="26">
        <v>45</v>
      </c>
      <c r="K194" s="27">
        <f t="shared" si="5"/>
        <v>44757.79</v>
      </c>
      <c r="L194" s="27">
        <f>23580.67+7131.45</f>
        <v>30712.12</v>
      </c>
      <c r="M194" s="27">
        <v>14045.670000000002</v>
      </c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5651.8</v>
      </c>
      <c r="L195" s="27">
        <v>5651.8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62</v>
      </c>
      <c r="I199" s="1">
        <v>46</v>
      </c>
      <c r="J199" s="44">
        <v>48</v>
      </c>
      <c r="K199" s="27">
        <f t="shared" si="5"/>
        <v>58345.89</v>
      </c>
      <c r="L199" s="27">
        <f>39374.14+5156.08+7431.64</f>
        <v>51961.86</v>
      </c>
      <c r="M199" s="27">
        <v>6384.03</v>
      </c>
      <c r="N199" s="1">
        <v>5</v>
      </c>
      <c r="O199" s="27">
        <f t="shared" si="6"/>
        <v>34367.43</v>
      </c>
      <c r="P199" s="27">
        <f>23453.46+1317.98+1317.98+6900.94</f>
        <v>32990.36</v>
      </c>
      <c r="Q199" s="27">
        <f>1377.07</f>
        <v>1377.07</v>
      </c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33</v>
      </c>
      <c r="I201" s="1">
        <v>17</v>
      </c>
      <c r="J201" s="44">
        <v>19</v>
      </c>
      <c r="K201" s="27">
        <f t="shared" si="5"/>
        <v>22205.18</v>
      </c>
      <c r="L201" s="27">
        <f>10009.78+3022.72</f>
        <v>13032.5</v>
      </c>
      <c r="M201" s="27">
        <v>9172.68</v>
      </c>
      <c r="N201" s="1">
        <v>26</v>
      </c>
      <c r="O201" s="27">
        <f t="shared" si="6"/>
        <v>68526.17</v>
      </c>
      <c r="P201" s="27">
        <f>33365.57+2652.02+5863.94+845.76</f>
        <v>42727.29</v>
      </c>
      <c r="Q201" s="27">
        <f>3982.56+21816.32</f>
        <v>25798.880000000001</v>
      </c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495</v>
      </c>
      <c r="C204" s="53" t="s">
        <v>18</v>
      </c>
      <c r="D204" s="54"/>
      <c r="E204" s="54" t="s">
        <v>50</v>
      </c>
      <c r="F204" s="54" t="s">
        <v>496</v>
      </c>
      <c r="G204" s="54" t="s">
        <v>142</v>
      </c>
      <c r="H204" s="55">
        <v>2</v>
      </c>
      <c r="I204" s="56"/>
      <c r="J204" s="57"/>
      <c r="K204" s="27"/>
      <c r="L204" s="58"/>
      <c r="M204" s="58"/>
      <c r="N204" s="56"/>
      <c r="O204" s="27"/>
      <c r="P204" s="58"/>
      <c r="Q204" s="58"/>
      <c r="R204" s="20"/>
    </row>
    <row r="205" spans="1:44" s="28" customFormat="1" ht="27" customHeight="1">
      <c r="A205" s="53"/>
      <c r="B205" s="54" t="s">
        <v>489</v>
      </c>
      <c r="C205" s="53" t="s">
        <v>18</v>
      </c>
      <c r="D205" s="54"/>
      <c r="E205" s="54" t="s">
        <v>50</v>
      </c>
      <c r="F205" s="54" t="s">
        <v>497</v>
      </c>
      <c r="G205" s="54" t="s">
        <v>122</v>
      </c>
      <c r="H205" s="55">
        <v>1</v>
      </c>
      <c r="I205" s="56"/>
      <c r="J205" s="57"/>
      <c r="K205" s="27"/>
      <c r="L205" s="58"/>
      <c r="M205" s="58"/>
      <c r="N205" s="56"/>
      <c r="O205" s="27"/>
      <c r="P205" s="58"/>
      <c r="Q205" s="58"/>
      <c r="R205" s="20"/>
    </row>
    <row r="206" spans="1:44" s="28" customFormat="1" ht="27" customHeight="1">
      <c r="A206" s="53"/>
      <c r="B206" s="54" t="s">
        <v>489</v>
      </c>
      <c r="C206" s="53" t="s">
        <v>18</v>
      </c>
      <c r="D206" s="54"/>
      <c r="E206" s="54" t="s">
        <v>50</v>
      </c>
      <c r="F206" s="54" t="s">
        <v>490</v>
      </c>
      <c r="G206" s="54" t="s">
        <v>124</v>
      </c>
      <c r="H206" s="55">
        <v>10</v>
      </c>
      <c r="I206" s="56">
        <v>2</v>
      </c>
      <c r="J206" s="57">
        <v>2</v>
      </c>
      <c r="K206" s="27">
        <f t="shared" si="5"/>
        <v>4154.2000000000007</v>
      </c>
      <c r="L206" s="58">
        <v>4154.2000000000007</v>
      </c>
      <c r="M206" s="58"/>
      <c r="N206" s="56"/>
      <c r="O206" s="39"/>
      <c r="P206" s="58"/>
      <c r="Q206" s="58"/>
      <c r="R206" s="20"/>
    </row>
    <row r="207" spans="1:44" s="14" customFormat="1" ht="27" customHeight="1">
      <c r="A207" s="46">
        <v>107</v>
      </c>
      <c r="B207" s="60" t="s">
        <v>325</v>
      </c>
      <c r="C207" s="46" t="s">
        <v>18</v>
      </c>
      <c r="D207" s="60"/>
      <c r="E207" s="60" t="s">
        <v>36</v>
      </c>
      <c r="F207" s="60" t="s">
        <v>446</v>
      </c>
      <c r="G207" s="60" t="s">
        <v>142</v>
      </c>
      <c r="H207" s="61">
        <v>13</v>
      </c>
      <c r="I207" s="32">
        <v>8</v>
      </c>
      <c r="J207" s="86">
        <v>9</v>
      </c>
      <c r="K207" s="27">
        <f t="shared" ref="K207:K209" si="7">L207+M207</f>
        <v>14298.95</v>
      </c>
      <c r="L207" s="63">
        <f>4320.42+7973.69</f>
        <v>12294.11</v>
      </c>
      <c r="M207" s="63">
        <v>2004.84</v>
      </c>
      <c r="N207" s="32"/>
      <c r="O207" s="27">
        <f t="shared" ref="O207:O209" si="8">P207+Q207</f>
        <v>0</v>
      </c>
      <c r="P207" s="63"/>
      <c r="Q207" s="63"/>
      <c r="R207" s="20"/>
      <c r="AM207" s="4"/>
      <c r="AN207" s="4"/>
      <c r="AO207" s="4"/>
      <c r="AP207" s="4"/>
      <c r="AQ207" s="4"/>
      <c r="AR207" s="4"/>
    </row>
    <row r="208" spans="1:44" s="28" customFormat="1" ht="27" customHeight="1">
      <c r="A208" s="46"/>
      <c r="B208" s="23" t="s">
        <v>325</v>
      </c>
      <c r="C208" s="24" t="s">
        <v>18</v>
      </c>
      <c r="D208" s="23"/>
      <c r="E208" s="23" t="s">
        <v>36</v>
      </c>
      <c r="F208" s="23" t="s">
        <v>369</v>
      </c>
      <c r="G208" s="23" t="s">
        <v>124</v>
      </c>
      <c r="H208" s="25">
        <v>4</v>
      </c>
      <c r="I208" s="2"/>
      <c r="J208" s="26"/>
      <c r="K208" s="27">
        <f t="shared" si="7"/>
        <v>0</v>
      </c>
      <c r="L208" s="27"/>
      <c r="M208" s="27"/>
      <c r="N208" s="2"/>
      <c r="O208" s="27">
        <f t="shared" si="8"/>
        <v>0</v>
      </c>
      <c r="P208" s="27"/>
      <c r="Q208" s="27"/>
      <c r="R208" s="20"/>
    </row>
    <row r="209" spans="1:44" s="28" customFormat="1" ht="18.75" customHeight="1" thickBot="1">
      <c r="A209" s="47"/>
      <c r="B209" s="48" t="s">
        <v>325</v>
      </c>
      <c r="C209" s="49" t="s">
        <v>18</v>
      </c>
      <c r="D209" s="48"/>
      <c r="E209" s="48" t="s">
        <v>370</v>
      </c>
      <c r="F209" s="48" t="s">
        <v>371</v>
      </c>
      <c r="G209" s="48" t="s">
        <v>136</v>
      </c>
      <c r="H209" s="50">
        <v>3</v>
      </c>
      <c r="I209" s="33">
        <v>2</v>
      </c>
      <c r="J209" s="51">
        <v>2</v>
      </c>
      <c r="K209" s="27">
        <f t="shared" si="7"/>
        <v>1841</v>
      </c>
      <c r="L209" s="52">
        <v>1841</v>
      </c>
      <c r="M209" s="52"/>
      <c r="N209" s="33"/>
      <c r="O209" s="27">
        <f t="shared" si="8"/>
        <v>0</v>
      </c>
      <c r="P209" s="52"/>
      <c r="Q209" s="52"/>
      <c r="R209" s="20"/>
    </row>
    <row r="210" spans="1:44" s="14" customFormat="1" ht="16.5" customHeight="1">
      <c r="A210" s="87" t="s">
        <v>145</v>
      </c>
      <c r="B210" s="87"/>
      <c r="C210" s="88"/>
      <c r="D210" s="89"/>
      <c r="E210" s="89"/>
      <c r="F210" s="89"/>
      <c r="G210" s="89"/>
      <c r="H210" s="88">
        <f>SUM(H10:H209)</f>
        <v>3860</v>
      </c>
      <c r="I210" s="88">
        <f>SUM(I10:I209)</f>
        <v>2249</v>
      </c>
      <c r="J210" s="88">
        <f>SUM(J10:J209)</f>
        <v>2489</v>
      </c>
      <c r="K210" s="90">
        <f>SUM(K10:K209)</f>
        <v>3190655.41</v>
      </c>
      <c r="L210" s="90">
        <f t="shared" ref="L210:M210" si="9">SUM(L10:L209)</f>
        <v>2187952.709999999</v>
      </c>
      <c r="M210" s="88">
        <f t="shared" si="9"/>
        <v>1002702.7000000002</v>
      </c>
      <c r="N210" s="88">
        <f>SUM(N10:N209)</f>
        <v>1300</v>
      </c>
      <c r="O210" s="90">
        <f>SUM(O10:O209)</f>
        <v>4476428.8099999996</v>
      </c>
      <c r="P210" s="90">
        <f>SUM(P10:P209)</f>
        <v>3738279.53</v>
      </c>
      <c r="Q210" s="90">
        <f>SUM(Q10:Q209)</f>
        <v>738149.27999999991</v>
      </c>
      <c r="R210" s="20"/>
      <c r="AM210" s="4"/>
      <c r="AN210" s="4"/>
      <c r="AO210" s="4"/>
      <c r="AP210" s="4"/>
      <c r="AQ210" s="4"/>
      <c r="AR210" s="4"/>
    </row>
    <row r="211" spans="1:44" s="14" customFormat="1" ht="15" customHeight="1">
      <c r="A211" s="5"/>
      <c r="B211" s="6"/>
      <c r="C211" s="5"/>
      <c r="D211" s="6"/>
      <c r="E211" s="6"/>
      <c r="F211" s="6"/>
      <c r="G211" s="6"/>
      <c r="H211" s="9"/>
      <c r="I211" s="9"/>
      <c r="J211" s="9"/>
      <c r="K211" s="9"/>
      <c r="L211" s="9"/>
      <c r="M211" s="11"/>
      <c r="N211" s="9"/>
      <c r="O211" s="9"/>
      <c r="P211" s="5"/>
      <c r="Q211" s="13"/>
      <c r="R211" s="20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12"/>
      <c r="N212" s="4"/>
      <c r="O212" s="4"/>
      <c r="P212" s="4"/>
      <c r="Q212" s="12"/>
      <c r="R212" s="20"/>
      <c r="AM212" s="4"/>
      <c r="AN212" s="4"/>
      <c r="AO212" s="4"/>
      <c r="AP212" s="4"/>
      <c r="AQ212" s="4"/>
      <c r="AR212" s="4"/>
    </row>
    <row r="213" spans="1:44" s="14" customForma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>
        <f>K10+K12+K14+K16+K18+K19+K20+K23+K28+K29+K31+K34+K36+K38+K40+K42+K44+K46+K48+K50+K52+K54+K55+K59+K60+K61+K62+K63+K65+K67+K68+K70+K72+K73+K75+K79+K81+K83+K85+K87+K89+K94+K97+K98+K99+K101+K103+K104+K105+K108++K111+K114+K117+K120+K121+K123+K126+K127+K129+K131+K133+K135+K137+K139+K141+K143+K144+K146+K149+K152+K155+K159+K160+K161+K162+K164+K165+K166+K168+K171+K176+K177+K179+K180+K182+K184+K185+K187+K190+K192+K194+K197+K199+K200+K201+K204+K207</f>
        <v>2252118.9700000007</v>
      </c>
      <c r="L213" s="15">
        <f>L10+L12+L14+L16+L18+L19+L20+L23+L28+L29+L31+L34+L36+L38+L40+L42+L44+L46+L48+L50+L52+L54+L55+L59+L60+L61+L62+L63+L65+L67+L68+L70+L72+L73+L75+L79+L81+L83+L85+L87+L89+L94+L97+L98+L99+L101+L103+L104+L105+L108++L111+L114+L117+L120+L121+L123+L126+L127+L129+L131+L133+L135+L137+L139+L141+L143+L144+L146+L149+L152+L155+L159+L160+L161+L162+L164+L165+L166+L168+L171+L176+L177+L179+L180+L182+L184+L185+L187+L190+L192+L194+L197+L199+L200+L201+L204+L207</f>
        <v>1284995.8100000005</v>
      </c>
      <c r="M213" s="15">
        <f t="shared" ref="M213:Q213" si="10">M10+M12+M14+M16+M18+M19+M20+M23+M28+M29+M31+M34+M36+M38+M40+M42+M44+M46+M48+M50+M52+M54+M55+M59+M60+M61+M62+M63+M65+M67+M68+M70+M72+M73+M75+M79+M81+M83+M85+M87+M89+M94+M97+M98+M99+M101+M103+M104+M105+M108++M111+M114+M117+M120+M121+M123+M126+M127+M129+M131+M133+M135+M137+M139+M141+M143+M144+M146+M149+M152+M155+M159+M160+M161+M162+M164+M165+M166+M168+M171+M176+M177+M179+M180+M182+M184+M185+M187+M190+M192+M194+M197+M199+M200+M201+M204+M207</f>
        <v>967123.16</v>
      </c>
      <c r="N213" s="15"/>
      <c r="O213" s="15">
        <f t="shared" si="10"/>
        <v>3273919.4099999988</v>
      </c>
      <c r="P213" s="15">
        <f t="shared" si="10"/>
        <v>2542821.8299999996</v>
      </c>
      <c r="Q213" s="15">
        <f t="shared" si="10"/>
        <v>731097.58</v>
      </c>
      <c r="AM213" s="4"/>
      <c r="AN213" s="4"/>
      <c r="AO213" s="4"/>
      <c r="AP213" s="4"/>
      <c r="AQ213" s="4"/>
      <c r="AR213" s="4"/>
    </row>
    <row r="214" spans="1:44" s="14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2"/>
      <c r="N214" s="15"/>
      <c r="O214" s="15"/>
      <c r="P214" s="4"/>
      <c r="Q214" s="12"/>
      <c r="AM214" s="4"/>
      <c r="AN214" s="4"/>
      <c r="AO214" s="4"/>
      <c r="AP214" s="4"/>
      <c r="AQ214" s="4"/>
      <c r="AR214" s="4"/>
    </row>
    <row r="215" spans="1:44" s="14" customForma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S215" s="20"/>
      <c r="AM215" s="4"/>
      <c r="AN215" s="4"/>
      <c r="AO215" s="4"/>
      <c r="AP215" s="4"/>
      <c r="AQ215" s="4"/>
      <c r="AR215" s="4"/>
    </row>
    <row r="216" spans="1:44" s="14" customForma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>
        <f>M213+Q213</f>
        <v>1698220.74</v>
      </c>
      <c r="N216" s="15">
        <v>1694872.64</v>
      </c>
      <c r="O216" s="15">
        <f>M216-N216</f>
        <v>3348.1000000000931</v>
      </c>
      <c r="P216" s="15"/>
      <c r="Q216" s="19"/>
      <c r="AM216" s="4"/>
      <c r="AN216" s="4"/>
      <c r="AO216" s="4"/>
      <c r="AP216" s="4"/>
      <c r="AQ216" s="4"/>
      <c r="AR216" s="4"/>
    </row>
    <row r="217" spans="1:44" s="14" customForma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15"/>
      <c r="L217" s="15">
        <f>K213+O213</f>
        <v>5526038.379999999</v>
      </c>
      <c r="M217" s="15"/>
      <c r="N217" s="15"/>
      <c r="O217" s="15"/>
      <c r="P217" s="15"/>
      <c r="Q217" s="19"/>
      <c r="AM217" s="4"/>
      <c r="AN217" s="4"/>
      <c r="AO217" s="4"/>
      <c r="AP217" s="4"/>
      <c r="AQ217" s="4"/>
      <c r="AR217" s="4"/>
    </row>
    <row r="218" spans="1:44" s="14" customForma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15"/>
      <c r="L218" s="15"/>
      <c r="M218" s="15"/>
      <c r="N218" s="15"/>
      <c r="O218" s="15"/>
      <c r="P218" s="15"/>
      <c r="Q218" s="19"/>
      <c r="AM218" s="4"/>
      <c r="AN218" s="4"/>
      <c r="AO218" s="4"/>
      <c r="AP218" s="4"/>
      <c r="AQ218" s="4"/>
      <c r="AR218" s="4"/>
    </row>
    <row r="219" spans="1:44">
      <c r="K219" s="15"/>
      <c r="L219" s="15"/>
      <c r="M219" s="15"/>
      <c r="N219" s="15"/>
      <c r="O219" s="15"/>
      <c r="P219" s="15"/>
      <c r="Q219" s="19"/>
      <c r="S219" s="20"/>
    </row>
    <row r="220" spans="1:44">
      <c r="K220" s="15">
        <f>L217-L220</f>
        <v>3047.8299999991432</v>
      </c>
      <c r="L220" s="4">
        <v>5522990.5499999998</v>
      </c>
    </row>
    <row r="221" spans="1:44">
      <c r="K221" s="15"/>
      <c r="O221" s="15"/>
      <c r="P221" s="15"/>
    </row>
    <row r="224" spans="1:44">
      <c r="O224" s="15"/>
    </row>
    <row r="225" spans="1:44" s="12" customForma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15"/>
      <c r="N225" s="4"/>
      <c r="O225" s="4"/>
      <c r="P225" s="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4"/>
      <c r="AN225" s="4"/>
      <c r="AO225" s="4"/>
      <c r="AP225" s="4"/>
      <c r="AQ225" s="4"/>
      <c r="AR225" s="4"/>
    </row>
  </sheetData>
  <mergeCells count="8">
    <mergeCell ref="A210:B21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R225"/>
  <sheetViews>
    <sheetView topLeftCell="G188" zoomScale="106" zoomScaleNormal="106" workbookViewId="0">
      <selection activeCell="T200" sqref="T200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>
        <v>1</v>
      </c>
      <c r="O10" s="27">
        <f>P10+Q10</f>
        <v>4105.6000000000004</v>
      </c>
      <c r="P10" s="76">
        <f>757.8+3347.8</f>
        <v>4105.6000000000004</v>
      </c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s="28" customFormat="1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449</v>
      </c>
      <c r="G11" s="23" t="s">
        <v>122</v>
      </c>
      <c r="H11" s="25">
        <v>35</v>
      </c>
      <c r="I11" s="1">
        <v>16</v>
      </c>
      <c r="J11" s="26">
        <v>16</v>
      </c>
      <c r="K11" s="27">
        <f t="shared" ref="K11:K75" si="1">L11+M11</f>
        <v>27440.2</v>
      </c>
      <c r="L11" s="27">
        <v>27440.2</v>
      </c>
      <c r="M11" s="27"/>
      <c r="N11" s="1">
        <v>20</v>
      </c>
      <c r="O11" s="27">
        <f t="shared" ref="O11:O75" si="2">P11+Q11</f>
        <v>85808.22</v>
      </c>
      <c r="P11" s="27">
        <v>85808.22</v>
      </c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381</v>
      </c>
      <c r="G12" s="23" t="s">
        <v>142</v>
      </c>
      <c r="H12" s="25">
        <v>73</v>
      </c>
      <c r="I12" s="1">
        <v>37</v>
      </c>
      <c r="J12" s="26">
        <v>48</v>
      </c>
      <c r="K12" s="27">
        <f t="shared" si="1"/>
        <v>44191.93</v>
      </c>
      <c r="L12" s="27">
        <f>7629.68+21605.83+14956.42</f>
        <v>44191.93</v>
      </c>
      <c r="M12" s="27"/>
      <c r="N12" s="1">
        <v>16</v>
      </c>
      <c r="O12" s="27">
        <f t="shared" si="2"/>
        <v>38318.150000000009</v>
      </c>
      <c r="P12" s="27">
        <f>29606.9+4271.09+4440.16</f>
        <v>38318.150000000009</v>
      </c>
      <c r="Q12" s="27"/>
      <c r="R12" s="20"/>
    </row>
    <row r="13" spans="1:44" s="28" customFormat="1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6</v>
      </c>
      <c r="I13" s="2"/>
      <c r="J13" s="26"/>
      <c r="K13" s="27">
        <f t="shared" si="1"/>
        <v>0</v>
      </c>
      <c r="L13" s="27"/>
      <c r="M13" s="27"/>
      <c r="N13" s="2">
        <v>1</v>
      </c>
      <c r="O13" s="27">
        <f t="shared" si="2"/>
        <v>8810</v>
      </c>
      <c r="P13" s="27">
        <v>8810</v>
      </c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382</v>
      </c>
      <c r="G14" s="23" t="s">
        <v>142</v>
      </c>
      <c r="H14" s="25">
        <v>25</v>
      </c>
      <c r="I14" s="1">
        <v>24</v>
      </c>
      <c r="J14" s="26">
        <v>38</v>
      </c>
      <c r="K14" s="27">
        <f t="shared" si="1"/>
        <v>21943.439999999999</v>
      </c>
      <c r="L14" s="27">
        <v>21943.439999999999</v>
      </c>
      <c r="M14" s="27"/>
      <c r="N14" s="1">
        <v>20</v>
      </c>
      <c r="O14" s="27">
        <f t="shared" si="2"/>
        <v>62276.1</v>
      </c>
      <c r="P14" s="27">
        <f>61466.06+810.04</f>
        <v>62276.1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s="28" customFormat="1" ht="13.9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18</v>
      </c>
      <c r="I15" s="2">
        <v>18</v>
      </c>
      <c r="J15" s="26">
        <v>18</v>
      </c>
      <c r="K15" s="27">
        <f t="shared" si="1"/>
        <v>25729.66</v>
      </c>
      <c r="L15" s="27">
        <v>25729.66</v>
      </c>
      <c r="M15" s="27"/>
      <c r="N15" s="2">
        <v>11</v>
      </c>
      <c r="O15" s="27">
        <f t="shared" si="2"/>
        <v>15486.34</v>
      </c>
      <c r="P15" s="27">
        <v>15486.34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383</v>
      </c>
      <c r="G16" s="23" t="s">
        <v>142</v>
      </c>
      <c r="H16" s="25">
        <v>82</v>
      </c>
      <c r="I16" s="1">
        <v>54</v>
      </c>
      <c r="J16" s="26">
        <v>70</v>
      </c>
      <c r="K16" s="27">
        <f t="shared" si="1"/>
        <v>100649.36</v>
      </c>
      <c r="L16" s="27">
        <f>62737.22+30318+7594.14</f>
        <v>100649.36</v>
      </c>
      <c r="M16" s="27"/>
      <c r="N16" s="1">
        <v>27</v>
      </c>
      <c r="O16" s="27">
        <f t="shared" si="2"/>
        <v>120982.69</v>
      </c>
      <c r="P16" s="27">
        <f>93861.98+17575.4+9545.31</f>
        <v>120982.69</v>
      </c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s="28" customFormat="1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1"/>
        <v>0</v>
      </c>
      <c r="L17" s="27"/>
      <c r="M17" s="27"/>
      <c r="N17" s="1"/>
      <c r="O17" s="27">
        <f t="shared" si="2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1"/>
        <v>0</v>
      </c>
      <c r="L18" s="27"/>
      <c r="M18" s="27"/>
      <c r="N18" s="1"/>
      <c r="O18" s="27">
        <f t="shared" si="2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384</v>
      </c>
      <c r="G19" s="23" t="s">
        <v>142</v>
      </c>
      <c r="H19" s="25">
        <v>2</v>
      </c>
      <c r="I19" s="1"/>
      <c r="J19" s="26"/>
      <c r="K19" s="27">
        <f t="shared" si="1"/>
        <v>0</v>
      </c>
      <c r="L19" s="27"/>
      <c r="M19" s="27"/>
      <c r="N19" s="1">
        <v>5</v>
      </c>
      <c r="O19" s="27">
        <f t="shared" si="2"/>
        <v>23296.77</v>
      </c>
      <c r="P19" s="27">
        <v>23296.77</v>
      </c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385</v>
      </c>
      <c r="G20" s="23" t="s">
        <v>142</v>
      </c>
      <c r="H20" s="25">
        <v>73</v>
      </c>
      <c r="I20" s="1">
        <v>53</v>
      </c>
      <c r="J20" s="26">
        <v>59</v>
      </c>
      <c r="K20" s="27">
        <f t="shared" si="1"/>
        <v>50420.990000000013</v>
      </c>
      <c r="L20" s="27">
        <f>32460.24+6355+8330.52+3275.23</f>
        <v>50420.990000000013</v>
      </c>
      <c r="M20" s="27"/>
      <c r="N20" s="1">
        <v>30</v>
      </c>
      <c r="O20" s="27">
        <f t="shared" si="2"/>
        <v>104576.04</v>
      </c>
      <c r="P20" s="27">
        <f>70362.9+2269.02+422.88+1395.86+16407.31+1437.79+4050.2+8230.08</f>
        <v>104576.04</v>
      </c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s="28" customFormat="1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4</v>
      </c>
      <c r="I21" s="2"/>
      <c r="J21" s="26"/>
      <c r="K21" s="27">
        <f t="shared" si="1"/>
        <v>0</v>
      </c>
      <c r="L21" s="27"/>
      <c r="M21" s="27"/>
      <c r="N21" s="2">
        <v>3</v>
      </c>
      <c r="O21" s="27">
        <f t="shared" si="2"/>
        <v>11246.73</v>
      </c>
      <c r="P21" s="27">
        <v>11246.73</v>
      </c>
      <c r="Q21" s="27"/>
      <c r="R21" s="20"/>
    </row>
    <row r="22" spans="1:38" s="28" customFormat="1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17</v>
      </c>
      <c r="I22" s="2">
        <v>8</v>
      </c>
      <c r="J22" s="26">
        <v>8</v>
      </c>
      <c r="K22" s="27">
        <f t="shared" si="1"/>
        <v>10677.800000000001</v>
      </c>
      <c r="L22" s="27">
        <v>10677.800000000001</v>
      </c>
      <c r="M22" s="27"/>
      <c r="N22" s="2">
        <v>13</v>
      </c>
      <c r="O22" s="27">
        <f t="shared" si="2"/>
        <v>21286.2</v>
      </c>
      <c r="P22" s="27">
        <v>21286.2</v>
      </c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1"/>
        <v>0</v>
      </c>
      <c r="L23" s="27"/>
      <c r="M23" s="27"/>
      <c r="N23" s="2">
        <v>4</v>
      </c>
      <c r="O23" s="27">
        <f t="shared" si="2"/>
        <v>29882.38</v>
      </c>
      <c r="P23" s="27">
        <f>6214.56+19172.32+4495.5</f>
        <v>29882.38</v>
      </c>
      <c r="Q23" s="27"/>
      <c r="R23" s="20"/>
    </row>
    <row r="24" spans="1:38" s="28" customFormat="1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471</v>
      </c>
      <c r="G24" s="23" t="s">
        <v>131</v>
      </c>
      <c r="H24" s="25">
        <v>1</v>
      </c>
      <c r="I24" s="1"/>
      <c r="J24" s="26"/>
      <c r="K24" s="27">
        <f t="shared" si="1"/>
        <v>0</v>
      </c>
      <c r="L24" s="27"/>
      <c r="M24" s="27"/>
      <c r="N24" s="1">
        <v>4</v>
      </c>
      <c r="O24" s="27">
        <f t="shared" si="2"/>
        <v>616.70000000000005</v>
      </c>
      <c r="P24" s="27">
        <v>616.70000000000005</v>
      </c>
      <c r="Q24" s="27"/>
      <c r="R24" s="20"/>
    </row>
    <row r="25" spans="1:38" s="28" customFormat="1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1"/>
        <v>0</v>
      </c>
      <c r="L25" s="27"/>
      <c r="M25" s="27"/>
      <c r="N25" s="1"/>
      <c r="O25" s="27">
        <f t="shared" si="2"/>
        <v>0</v>
      </c>
      <c r="P25" s="27"/>
      <c r="Q25" s="27"/>
      <c r="R25" s="20"/>
    </row>
    <row r="26" spans="1:38" s="28" customFormat="1" ht="15" customHeight="1">
      <c r="A26" s="24">
        <v>9</v>
      </c>
      <c r="B26" s="23" t="s">
        <v>492</v>
      </c>
      <c r="C26" s="24" t="s">
        <v>18</v>
      </c>
      <c r="D26" s="23"/>
      <c r="E26" s="23" t="s">
        <v>493</v>
      </c>
      <c r="F26" s="23"/>
      <c r="G26" s="23" t="s">
        <v>136</v>
      </c>
      <c r="H26" s="25">
        <v>0</v>
      </c>
      <c r="I26" s="1"/>
      <c r="J26" s="26"/>
      <c r="K26" s="27">
        <f t="shared" si="1"/>
        <v>0</v>
      </c>
      <c r="L26" s="27"/>
      <c r="M26" s="27"/>
      <c r="N26" s="1"/>
      <c r="O26" s="27">
        <f t="shared" si="2"/>
        <v>0</v>
      </c>
      <c r="P26" s="27"/>
      <c r="Q26" s="27"/>
      <c r="R26" s="20"/>
    </row>
    <row r="27" spans="1:38" s="28" customFormat="1" ht="15" customHeight="1">
      <c r="A27" s="41">
        <v>10</v>
      </c>
      <c r="B27" s="37" t="s">
        <v>484</v>
      </c>
      <c r="C27" s="41" t="s">
        <v>18</v>
      </c>
      <c r="D27" s="37"/>
      <c r="E27" s="37" t="s">
        <v>104</v>
      </c>
      <c r="F27" s="37" t="s">
        <v>487</v>
      </c>
      <c r="G27" s="37" t="s">
        <v>122</v>
      </c>
      <c r="H27" s="42">
        <v>28</v>
      </c>
      <c r="I27" s="40">
        <v>11</v>
      </c>
      <c r="J27" s="43">
        <v>11</v>
      </c>
      <c r="K27" s="27">
        <f t="shared" si="1"/>
        <v>13406.52</v>
      </c>
      <c r="L27" s="39">
        <v>13406.52</v>
      </c>
      <c r="M27" s="39"/>
      <c r="N27" s="40"/>
      <c r="O27" s="27">
        <f t="shared" si="2"/>
        <v>0</v>
      </c>
      <c r="P27" s="39"/>
      <c r="Q27" s="39"/>
      <c r="R27" s="20"/>
    </row>
    <row r="28" spans="1:38" ht="29.25" customHeight="1">
      <c r="A28" s="29">
        <v>11</v>
      </c>
      <c r="B28" s="30" t="s">
        <v>29</v>
      </c>
      <c r="C28" s="29" t="s">
        <v>30</v>
      </c>
      <c r="D28" s="30" t="s">
        <v>31</v>
      </c>
      <c r="E28" s="30" t="s">
        <v>32</v>
      </c>
      <c r="F28" s="30" t="s">
        <v>386</v>
      </c>
      <c r="G28" s="30" t="s">
        <v>142</v>
      </c>
      <c r="H28" s="25">
        <v>11</v>
      </c>
      <c r="I28" s="1">
        <v>8</v>
      </c>
      <c r="J28" s="44">
        <v>8</v>
      </c>
      <c r="K28" s="27">
        <f t="shared" si="1"/>
        <v>6223.7300000000005</v>
      </c>
      <c r="L28" s="27">
        <f>4086.08+1226.35+911.3</f>
        <v>6223.7300000000005</v>
      </c>
      <c r="M28" s="27"/>
      <c r="N28" s="1">
        <v>3</v>
      </c>
      <c r="O28" s="27">
        <f t="shared" si="2"/>
        <v>3570.69</v>
      </c>
      <c r="P28" s="27">
        <f>3570.69</f>
        <v>3570.69</v>
      </c>
      <c r="Q28" s="27"/>
      <c r="R28" s="20"/>
    </row>
    <row r="29" spans="1:38" ht="27.6" customHeight="1">
      <c r="A29" s="24">
        <v>12</v>
      </c>
      <c r="B29" s="23" t="s">
        <v>33</v>
      </c>
      <c r="C29" s="24" t="s">
        <v>52</v>
      </c>
      <c r="D29" s="23" t="s">
        <v>287</v>
      </c>
      <c r="E29" s="23" t="s">
        <v>34</v>
      </c>
      <c r="F29" s="23" t="s">
        <v>387</v>
      </c>
      <c r="G29" s="23" t="s">
        <v>142</v>
      </c>
      <c r="H29" s="25">
        <v>23</v>
      </c>
      <c r="I29" s="1">
        <v>15</v>
      </c>
      <c r="J29" s="44">
        <v>18</v>
      </c>
      <c r="K29" s="27">
        <f t="shared" si="1"/>
        <v>30518.67</v>
      </c>
      <c r="L29" s="27">
        <f>18888.64+11630.03</f>
        <v>30518.67</v>
      </c>
      <c r="M29" s="27"/>
      <c r="N29" s="1">
        <v>6</v>
      </c>
      <c r="O29" s="27">
        <f t="shared" si="2"/>
        <v>21763.25</v>
      </c>
      <c r="P29" s="27">
        <f>12527.2+5552.77+3683.28</f>
        <v>21763.25</v>
      </c>
      <c r="Q29" s="27"/>
      <c r="R29" s="20"/>
    </row>
    <row r="30" spans="1:38" s="28" customFormat="1" ht="28.15" customHeight="1">
      <c r="A30" s="24"/>
      <c r="B30" s="23" t="s">
        <v>33</v>
      </c>
      <c r="C30" s="24" t="s">
        <v>52</v>
      </c>
      <c r="D30" s="23" t="s">
        <v>287</v>
      </c>
      <c r="E30" s="23" t="s">
        <v>34</v>
      </c>
      <c r="F30" s="23" t="s">
        <v>123</v>
      </c>
      <c r="G30" s="23" t="s">
        <v>136</v>
      </c>
      <c r="H30" s="25">
        <v>0</v>
      </c>
      <c r="I30" s="1"/>
      <c r="J30" s="26"/>
      <c r="K30" s="27">
        <f t="shared" si="1"/>
        <v>0</v>
      </c>
      <c r="L30" s="27"/>
      <c r="M30" s="27"/>
      <c r="N30" s="1">
        <v>2</v>
      </c>
      <c r="O30" s="27">
        <f t="shared" si="2"/>
        <v>4140.7</v>
      </c>
      <c r="P30" s="27">
        <v>4140.7</v>
      </c>
      <c r="Q30" s="27"/>
      <c r="R30" s="20"/>
    </row>
    <row r="31" spans="1:38" s="7" customFormat="1" ht="15" customHeight="1">
      <c r="A31" s="24">
        <v>13</v>
      </c>
      <c r="B31" s="23" t="s">
        <v>35</v>
      </c>
      <c r="C31" s="24" t="s">
        <v>18</v>
      </c>
      <c r="D31" s="23"/>
      <c r="E31" s="23" t="s">
        <v>36</v>
      </c>
      <c r="F31" s="23" t="s">
        <v>388</v>
      </c>
      <c r="G31" s="23" t="s">
        <v>142</v>
      </c>
      <c r="H31" s="25">
        <v>44</v>
      </c>
      <c r="I31" s="1">
        <v>27</v>
      </c>
      <c r="J31" s="26">
        <v>33</v>
      </c>
      <c r="K31" s="27">
        <f t="shared" si="1"/>
        <v>27967.239999999998</v>
      </c>
      <c r="L31" s="27">
        <f>14723.62+1685.36+11558.26</f>
        <v>27967.239999999998</v>
      </c>
      <c r="M31" s="27"/>
      <c r="N31" s="1">
        <v>28</v>
      </c>
      <c r="O31" s="27">
        <f t="shared" si="2"/>
        <v>86495.49</v>
      </c>
      <c r="P31" s="27">
        <f>20737.96+17118.86+11854.68+5766.69+23775.75+7241.55</f>
        <v>86495.49</v>
      </c>
      <c r="Q31" s="27"/>
      <c r="R31" s="20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1:38" s="28" customFormat="1" ht="15" customHeight="1">
      <c r="A32" s="24"/>
      <c r="B32" s="23" t="s">
        <v>35</v>
      </c>
      <c r="C32" s="24" t="s">
        <v>18</v>
      </c>
      <c r="D32" s="23"/>
      <c r="E32" s="23" t="s">
        <v>36</v>
      </c>
      <c r="F32" s="23" t="s">
        <v>120</v>
      </c>
      <c r="G32" s="23" t="s">
        <v>124</v>
      </c>
      <c r="H32" s="25">
        <v>0</v>
      </c>
      <c r="I32" s="2"/>
      <c r="J32" s="26"/>
      <c r="K32" s="27">
        <f t="shared" si="1"/>
        <v>0</v>
      </c>
      <c r="L32" s="27"/>
      <c r="M32" s="27"/>
      <c r="N32" s="2">
        <v>4</v>
      </c>
      <c r="O32" s="27">
        <f t="shared" si="2"/>
        <v>252.6</v>
      </c>
      <c r="P32" s="27">
        <v>252.6</v>
      </c>
      <c r="Q32" s="27"/>
      <c r="R32" s="20"/>
    </row>
    <row r="33" spans="1:38" s="28" customFormat="1" ht="15" customHeight="1">
      <c r="A33" s="24"/>
      <c r="B33" s="23" t="s">
        <v>35</v>
      </c>
      <c r="C33" s="24" t="s">
        <v>18</v>
      </c>
      <c r="D33" s="23"/>
      <c r="E33" s="23" t="s">
        <v>36</v>
      </c>
      <c r="F33" s="23" t="s">
        <v>359</v>
      </c>
      <c r="G33" s="23" t="s">
        <v>136</v>
      </c>
      <c r="H33" s="25">
        <v>15</v>
      </c>
      <c r="I33" s="2">
        <v>7</v>
      </c>
      <c r="J33" s="26">
        <v>7</v>
      </c>
      <c r="K33" s="27">
        <f t="shared" si="1"/>
        <v>6574.7</v>
      </c>
      <c r="L33" s="27">
        <v>6574.7</v>
      </c>
      <c r="M33" s="27"/>
      <c r="N33" s="2">
        <v>5</v>
      </c>
      <c r="O33" s="27">
        <f t="shared" si="2"/>
        <v>4921.8999999999996</v>
      </c>
      <c r="P33" s="27">
        <v>4921.8999999999996</v>
      </c>
      <c r="Q33" s="27"/>
      <c r="R33" s="20"/>
    </row>
    <row r="34" spans="1:38" s="7" customFormat="1" ht="15" customHeight="1">
      <c r="A34" s="74">
        <v>14</v>
      </c>
      <c r="B34" s="77" t="s">
        <v>37</v>
      </c>
      <c r="C34" s="74" t="s">
        <v>18</v>
      </c>
      <c r="D34" s="77"/>
      <c r="E34" s="77" t="s">
        <v>38</v>
      </c>
      <c r="F34" s="77" t="s">
        <v>389</v>
      </c>
      <c r="G34" s="77" t="s">
        <v>142</v>
      </c>
      <c r="H34" s="25">
        <v>31</v>
      </c>
      <c r="I34" s="1">
        <v>22</v>
      </c>
      <c r="J34" s="26">
        <v>35</v>
      </c>
      <c r="K34" s="27">
        <f t="shared" si="1"/>
        <v>51354.420000000006</v>
      </c>
      <c r="L34" s="27">
        <f>6122.51+3852.95+8502.89+26301.45+6574.62</f>
        <v>51354.420000000006</v>
      </c>
      <c r="M34" s="27"/>
      <c r="N34" s="1">
        <v>15</v>
      </c>
      <c r="O34" s="27">
        <f t="shared" si="2"/>
        <v>67205.489999999991</v>
      </c>
      <c r="P34" s="27">
        <f>51128.02+2025.43+9307.63+4744.41</f>
        <v>67205.489999999991</v>
      </c>
      <c r="Q34" s="27"/>
      <c r="R34" s="20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1:38" s="28" customFormat="1" ht="15" customHeight="1">
      <c r="A35" s="24"/>
      <c r="B35" s="23" t="s">
        <v>37</v>
      </c>
      <c r="C35" s="24" t="s">
        <v>18</v>
      </c>
      <c r="D35" s="23"/>
      <c r="E35" s="23" t="s">
        <v>38</v>
      </c>
      <c r="F35" s="23" t="s">
        <v>374</v>
      </c>
      <c r="G35" s="23" t="s">
        <v>124</v>
      </c>
      <c r="H35" s="25">
        <v>10</v>
      </c>
      <c r="I35" s="2">
        <v>3</v>
      </c>
      <c r="J35" s="26">
        <v>3</v>
      </c>
      <c r="K35" s="27">
        <f t="shared" si="1"/>
        <v>1380.75</v>
      </c>
      <c r="L35" s="27">
        <v>1380.75</v>
      </c>
      <c r="M35" s="27"/>
      <c r="N35" s="2">
        <v>5</v>
      </c>
      <c r="O35" s="27">
        <f t="shared" si="2"/>
        <v>4100</v>
      </c>
      <c r="P35" s="27">
        <v>4100</v>
      </c>
      <c r="Q35" s="27"/>
      <c r="R35" s="20"/>
    </row>
    <row r="36" spans="1:38" ht="15" customHeight="1">
      <c r="A36" s="24">
        <v>15</v>
      </c>
      <c r="B36" s="23" t="s">
        <v>39</v>
      </c>
      <c r="C36" s="24" t="s">
        <v>18</v>
      </c>
      <c r="D36" s="23"/>
      <c r="E36" s="23" t="s">
        <v>19</v>
      </c>
      <c r="F36" s="23" t="s">
        <v>120</v>
      </c>
      <c r="G36" s="23" t="s">
        <v>142</v>
      </c>
      <c r="H36" s="25">
        <v>0</v>
      </c>
      <c r="I36" s="1"/>
      <c r="J36" s="26"/>
      <c r="K36" s="27">
        <f t="shared" si="1"/>
        <v>0</v>
      </c>
      <c r="L36" s="27"/>
      <c r="M36" s="27"/>
      <c r="N36" s="1">
        <v>6</v>
      </c>
      <c r="O36" s="27">
        <f t="shared" si="2"/>
        <v>22043.24</v>
      </c>
      <c r="P36" s="27">
        <f>16623.7+881+4538.54</f>
        <v>22043.24</v>
      </c>
      <c r="Q36" s="27"/>
      <c r="R36" s="20"/>
    </row>
    <row r="37" spans="1:38" s="28" customFormat="1" ht="15.6" customHeight="1">
      <c r="A37" s="24"/>
      <c r="B37" s="23" t="s">
        <v>39</v>
      </c>
      <c r="C37" s="24" t="s">
        <v>18</v>
      </c>
      <c r="D37" s="23"/>
      <c r="E37" s="23" t="s">
        <v>19</v>
      </c>
      <c r="F37" s="23" t="s">
        <v>450</v>
      </c>
      <c r="G37" s="23" t="s">
        <v>122</v>
      </c>
      <c r="H37" s="25">
        <v>19</v>
      </c>
      <c r="I37" s="1">
        <v>4</v>
      </c>
      <c r="J37" s="26">
        <v>4</v>
      </c>
      <c r="K37" s="27">
        <f t="shared" si="1"/>
        <v>3106</v>
      </c>
      <c r="L37" s="27">
        <v>3106</v>
      </c>
      <c r="M37" s="27"/>
      <c r="N37" s="1">
        <v>8</v>
      </c>
      <c r="O37" s="27">
        <f t="shared" si="2"/>
        <v>19606.04</v>
      </c>
      <c r="P37" s="27">
        <v>19606.04</v>
      </c>
      <c r="Q37" s="27"/>
      <c r="R37" s="20"/>
    </row>
    <row r="38" spans="1:38" s="7" customFormat="1" ht="15" customHeight="1">
      <c r="A38" s="24">
        <v>16</v>
      </c>
      <c r="B38" s="23" t="s">
        <v>40</v>
      </c>
      <c r="C38" s="24" t="s">
        <v>18</v>
      </c>
      <c r="D38" s="23"/>
      <c r="E38" s="23" t="s">
        <v>41</v>
      </c>
      <c r="F38" s="23" t="s">
        <v>390</v>
      </c>
      <c r="G38" s="23" t="s">
        <v>142</v>
      </c>
      <c r="H38" s="25">
        <v>21</v>
      </c>
      <c r="I38" s="1">
        <v>12</v>
      </c>
      <c r="J38" s="26">
        <v>12</v>
      </c>
      <c r="K38" s="27">
        <f t="shared" si="1"/>
        <v>12886.55</v>
      </c>
      <c r="L38" s="27">
        <f>12886.55</f>
        <v>12886.55</v>
      </c>
      <c r="M38" s="27"/>
      <c r="N38" s="1">
        <v>13</v>
      </c>
      <c r="O38" s="27">
        <f t="shared" si="2"/>
        <v>58772.23</v>
      </c>
      <c r="P38" s="27">
        <f>11156.02+2671.19+16630.01+2006.04+1877.82+24431.15</f>
        <v>58772.23</v>
      </c>
      <c r="Q38" s="27"/>
      <c r="R38" s="20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1:38" s="28" customFormat="1" ht="15" customHeight="1">
      <c r="A39" s="24"/>
      <c r="B39" s="23" t="s">
        <v>40</v>
      </c>
      <c r="C39" s="24" t="s">
        <v>18</v>
      </c>
      <c r="D39" s="23"/>
      <c r="E39" s="23" t="s">
        <v>41</v>
      </c>
      <c r="F39" s="23" t="s">
        <v>360</v>
      </c>
      <c r="G39" s="23" t="s">
        <v>136</v>
      </c>
      <c r="H39" s="25">
        <v>23</v>
      </c>
      <c r="I39" s="2">
        <v>13</v>
      </c>
      <c r="J39" s="26">
        <v>13</v>
      </c>
      <c r="K39" s="27">
        <f t="shared" si="1"/>
        <v>23264.6</v>
      </c>
      <c r="L39" s="27">
        <v>23264.6</v>
      </c>
      <c r="M39" s="27"/>
      <c r="N39" s="2">
        <v>6</v>
      </c>
      <c r="O39" s="27">
        <f t="shared" si="2"/>
        <v>26266</v>
      </c>
      <c r="P39" s="27">
        <v>26266</v>
      </c>
      <c r="Q39" s="27"/>
      <c r="R39" s="20"/>
    </row>
    <row r="40" spans="1:38" ht="15" customHeight="1">
      <c r="A40" s="74">
        <v>17</v>
      </c>
      <c r="B40" s="77" t="s">
        <v>42</v>
      </c>
      <c r="C40" s="74" t="s">
        <v>18</v>
      </c>
      <c r="D40" s="77"/>
      <c r="E40" s="77" t="s">
        <v>41</v>
      </c>
      <c r="F40" s="77" t="s">
        <v>391</v>
      </c>
      <c r="G40" s="77" t="s">
        <v>142</v>
      </c>
      <c r="H40" s="25">
        <v>32</v>
      </c>
      <c r="I40" s="1">
        <v>22</v>
      </c>
      <c r="J40" s="26">
        <v>30</v>
      </c>
      <c r="K40" s="27">
        <f t="shared" si="1"/>
        <v>41933.47</v>
      </c>
      <c r="L40" s="27">
        <f>17627.6+9184.83+15121.04</f>
        <v>41933.47</v>
      </c>
      <c r="M40" s="27"/>
      <c r="N40" s="1">
        <v>16</v>
      </c>
      <c r="O40" s="27">
        <f t="shared" si="2"/>
        <v>46501.820000000007</v>
      </c>
      <c r="P40" s="27">
        <f>28541.43+3370.36+8999.73+5590.3</f>
        <v>46501.820000000007</v>
      </c>
      <c r="Q40" s="27"/>
      <c r="R40" s="20"/>
    </row>
    <row r="41" spans="1:38" s="28" customFormat="1" ht="14.45" customHeight="1">
      <c r="A41" s="24"/>
      <c r="B41" s="23" t="s">
        <v>42</v>
      </c>
      <c r="C41" s="24" t="s">
        <v>18</v>
      </c>
      <c r="D41" s="23"/>
      <c r="E41" s="23" t="s">
        <v>41</v>
      </c>
      <c r="F41" s="23" t="s">
        <v>361</v>
      </c>
      <c r="G41" s="23" t="s">
        <v>136</v>
      </c>
      <c r="H41" s="25">
        <v>23</v>
      </c>
      <c r="I41" s="2">
        <v>13</v>
      </c>
      <c r="J41" s="26">
        <v>13</v>
      </c>
      <c r="K41" s="27">
        <f t="shared" si="1"/>
        <v>14835.5</v>
      </c>
      <c r="L41" s="27">
        <v>14835.5</v>
      </c>
      <c r="M41" s="27"/>
      <c r="N41" s="2">
        <v>14</v>
      </c>
      <c r="O41" s="27">
        <f t="shared" si="2"/>
        <v>31326</v>
      </c>
      <c r="P41" s="27">
        <v>31326</v>
      </c>
      <c r="Q41" s="27"/>
      <c r="R41" s="20"/>
    </row>
    <row r="42" spans="1:38" ht="15" customHeight="1">
      <c r="A42" s="24">
        <v>18</v>
      </c>
      <c r="B42" s="23" t="s">
        <v>43</v>
      </c>
      <c r="C42" s="24" t="s">
        <v>18</v>
      </c>
      <c r="D42" s="23"/>
      <c r="E42" s="23" t="s">
        <v>19</v>
      </c>
      <c r="F42" s="23" t="s">
        <v>457</v>
      </c>
      <c r="G42" s="23" t="s">
        <v>142</v>
      </c>
      <c r="H42" s="25">
        <v>24</v>
      </c>
      <c r="I42" s="1">
        <v>15</v>
      </c>
      <c r="J42" s="26">
        <v>15</v>
      </c>
      <c r="K42" s="27">
        <f t="shared" si="1"/>
        <v>8916.02</v>
      </c>
      <c r="L42" s="27">
        <f>1131.2+4248.94+3535.88</f>
        <v>8916.02</v>
      </c>
      <c r="M42" s="27"/>
      <c r="N42" s="1">
        <v>7</v>
      </c>
      <c r="O42" s="27">
        <f t="shared" si="2"/>
        <v>14187.61</v>
      </c>
      <c r="P42" s="27">
        <f>4817.32+599.08+1497.7+2374.74+4898.77</f>
        <v>14187.61</v>
      </c>
      <c r="Q42" s="27"/>
      <c r="R42" s="20"/>
    </row>
    <row r="43" spans="1:38" s="28" customFormat="1" ht="15" customHeight="1">
      <c r="A43" s="24"/>
      <c r="B43" s="23" t="s">
        <v>43</v>
      </c>
      <c r="C43" s="24" t="s">
        <v>18</v>
      </c>
      <c r="D43" s="23"/>
      <c r="E43" s="23" t="s">
        <v>19</v>
      </c>
      <c r="F43" s="23" t="s">
        <v>448</v>
      </c>
      <c r="G43" s="23" t="s">
        <v>122</v>
      </c>
      <c r="H43" s="25">
        <v>26</v>
      </c>
      <c r="I43" s="1">
        <v>7</v>
      </c>
      <c r="J43" s="26">
        <v>7</v>
      </c>
      <c r="K43" s="27">
        <f t="shared" si="1"/>
        <v>10461.5</v>
      </c>
      <c r="L43" s="27">
        <v>10461.5</v>
      </c>
      <c r="M43" s="27"/>
      <c r="N43" s="1">
        <v>9</v>
      </c>
      <c r="O43" s="27">
        <f t="shared" si="2"/>
        <v>21626.82</v>
      </c>
      <c r="P43" s="27">
        <v>21626.82</v>
      </c>
      <c r="Q43" s="27"/>
      <c r="R43" s="20"/>
    </row>
    <row r="44" spans="1:38" s="7" customFormat="1" ht="15" customHeight="1">
      <c r="A44" s="24">
        <v>19</v>
      </c>
      <c r="B44" s="23" t="s">
        <v>44</v>
      </c>
      <c r="C44" s="24" t="s">
        <v>18</v>
      </c>
      <c r="D44" s="23"/>
      <c r="E44" s="23" t="s">
        <v>45</v>
      </c>
      <c r="F44" s="23" t="s">
        <v>392</v>
      </c>
      <c r="G44" s="23" t="s">
        <v>142</v>
      </c>
      <c r="H44" s="25">
        <v>39</v>
      </c>
      <c r="I44" s="1"/>
      <c r="J44" s="26"/>
      <c r="K44" s="27">
        <f t="shared" si="1"/>
        <v>37101.449999999997</v>
      </c>
      <c r="L44" s="27">
        <f>15890.44+21211.01</f>
        <v>37101.449999999997</v>
      </c>
      <c r="M44" s="27"/>
      <c r="N44" s="1"/>
      <c r="O44" s="27">
        <f t="shared" si="2"/>
        <v>26564.83</v>
      </c>
      <c r="P44" s="27">
        <f>24085.7+2479.13</f>
        <v>26564.83</v>
      </c>
      <c r="Q44" s="27"/>
      <c r="R44" s="20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 spans="1:38" s="28" customFormat="1" ht="15" customHeight="1">
      <c r="A45" s="24"/>
      <c r="B45" s="23" t="s">
        <v>126</v>
      </c>
      <c r="C45" s="24" t="s">
        <v>18</v>
      </c>
      <c r="D45" s="23"/>
      <c r="E45" s="23" t="s">
        <v>45</v>
      </c>
      <c r="F45" s="23" t="s">
        <v>318</v>
      </c>
      <c r="G45" s="23" t="s">
        <v>124</v>
      </c>
      <c r="H45" s="25">
        <v>4</v>
      </c>
      <c r="I45" s="2"/>
      <c r="J45" s="26"/>
      <c r="K45" s="27">
        <f t="shared" si="1"/>
        <v>0</v>
      </c>
      <c r="L45" s="27"/>
      <c r="M45" s="27"/>
      <c r="N45" s="2"/>
      <c r="O45" s="27">
        <f t="shared" si="2"/>
        <v>0</v>
      </c>
      <c r="P45" s="27"/>
      <c r="Q45" s="27"/>
      <c r="R45" s="20"/>
    </row>
    <row r="46" spans="1:38" ht="15" customHeight="1">
      <c r="A46" s="24">
        <v>20</v>
      </c>
      <c r="B46" s="23" t="s">
        <v>46</v>
      </c>
      <c r="C46" s="24" t="s">
        <v>18</v>
      </c>
      <c r="D46" s="23"/>
      <c r="E46" s="23" t="s">
        <v>19</v>
      </c>
      <c r="F46" s="23" t="s">
        <v>120</v>
      </c>
      <c r="G46" s="23" t="s">
        <v>142</v>
      </c>
      <c r="H46" s="25">
        <v>0</v>
      </c>
      <c r="I46" s="1"/>
      <c r="J46" s="26"/>
      <c r="K46" s="27">
        <f t="shared" si="1"/>
        <v>0</v>
      </c>
      <c r="L46" s="27"/>
      <c r="M46" s="27"/>
      <c r="N46" s="1">
        <v>6</v>
      </c>
      <c r="O46" s="27">
        <f t="shared" si="2"/>
        <v>35808.350000000006</v>
      </c>
      <c r="P46" s="27">
        <f>34238.41+1569.94</f>
        <v>35808.350000000006</v>
      </c>
      <c r="Q46" s="27"/>
      <c r="R46" s="20"/>
    </row>
    <row r="47" spans="1:38" s="28" customFormat="1" ht="15.6" customHeight="1">
      <c r="A47" s="24"/>
      <c r="B47" s="23" t="s">
        <v>46</v>
      </c>
      <c r="C47" s="24" t="s">
        <v>18</v>
      </c>
      <c r="D47" s="23"/>
      <c r="E47" s="23" t="s">
        <v>19</v>
      </c>
      <c r="F47" s="23" t="s">
        <v>355</v>
      </c>
      <c r="G47" s="23" t="s">
        <v>122</v>
      </c>
      <c r="H47" s="25">
        <v>12</v>
      </c>
      <c r="I47" s="1">
        <v>1</v>
      </c>
      <c r="J47" s="26">
        <v>1</v>
      </c>
      <c r="K47" s="27">
        <f t="shared" si="1"/>
        <v>4050.2</v>
      </c>
      <c r="L47" s="27">
        <v>4050.2</v>
      </c>
      <c r="M47" s="27"/>
      <c r="N47" s="1">
        <v>8</v>
      </c>
      <c r="O47" s="27">
        <f t="shared" si="2"/>
        <v>8272.2999999999993</v>
      </c>
      <c r="P47" s="27">
        <v>8272.2999999999993</v>
      </c>
      <c r="Q47" s="27"/>
      <c r="R47" s="20"/>
    </row>
    <row r="48" spans="1:38" ht="15" customHeight="1">
      <c r="A48" s="74">
        <v>21</v>
      </c>
      <c r="B48" s="77" t="s">
        <v>47</v>
      </c>
      <c r="C48" s="74" t="s">
        <v>18</v>
      </c>
      <c r="D48" s="77"/>
      <c r="E48" s="77" t="s">
        <v>19</v>
      </c>
      <c r="F48" s="77" t="s">
        <v>292</v>
      </c>
      <c r="G48" s="77" t="s">
        <v>142</v>
      </c>
      <c r="H48" s="25">
        <v>0</v>
      </c>
      <c r="I48" s="1"/>
      <c r="J48" s="26"/>
      <c r="K48" s="27">
        <f t="shared" si="1"/>
        <v>0</v>
      </c>
      <c r="L48" s="27"/>
      <c r="M48" s="27"/>
      <c r="N48" s="1">
        <v>15</v>
      </c>
      <c r="O48" s="27">
        <f t="shared" si="2"/>
        <v>48533.12000000001</v>
      </c>
      <c r="P48" s="27">
        <f>22402.99+2762.46+2303.16+4970.7+1877.82+9005.39+3249.19+1961.41</f>
        <v>48533.12000000001</v>
      </c>
      <c r="Q48" s="27"/>
      <c r="R48" s="20"/>
    </row>
    <row r="49" spans="1:38" s="28" customFormat="1" ht="13.9" customHeight="1">
      <c r="A49" s="24"/>
      <c r="B49" s="23" t="s">
        <v>47</v>
      </c>
      <c r="C49" s="24" t="s">
        <v>18</v>
      </c>
      <c r="D49" s="23"/>
      <c r="E49" s="23" t="s">
        <v>19</v>
      </c>
      <c r="F49" s="23" t="s">
        <v>354</v>
      </c>
      <c r="G49" s="23" t="s">
        <v>122</v>
      </c>
      <c r="H49" s="25">
        <v>14</v>
      </c>
      <c r="I49" s="1">
        <v>3</v>
      </c>
      <c r="J49" s="26">
        <v>3</v>
      </c>
      <c r="K49" s="27">
        <f t="shared" si="1"/>
        <v>5839.92</v>
      </c>
      <c r="L49" s="27">
        <v>5839.92</v>
      </c>
      <c r="M49" s="27"/>
      <c r="N49" s="1">
        <v>10</v>
      </c>
      <c r="O49" s="27">
        <f t="shared" si="2"/>
        <v>21365.43</v>
      </c>
      <c r="P49" s="27">
        <v>21365.43</v>
      </c>
      <c r="Q49" s="27"/>
      <c r="R49" s="20"/>
    </row>
    <row r="50" spans="1:38">
      <c r="A50" s="24">
        <v>22</v>
      </c>
      <c r="B50" s="23" t="s">
        <v>316</v>
      </c>
      <c r="C50" s="24" t="s">
        <v>18</v>
      </c>
      <c r="D50" s="23"/>
      <c r="E50" s="23" t="s">
        <v>19</v>
      </c>
      <c r="F50" s="23" t="s">
        <v>393</v>
      </c>
      <c r="G50" s="23" t="s">
        <v>142</v>
      </c>
      <c r="H50" s="25">
        <v>24</v>
      </c>
      <c r="I50" s="1">
        <v>20</v>
      </c>
      <c r="J50" s="26">
        <v>21</v>
      </c>
      <c r="K50" s="27">
        <f t="shared" si="1"/>
        <v>25356.89</v>
      </c>
      <c r="L50" s="27">
        <f>8384.28+2921.04+4444.53+9238.84+368.2</f>
        <v>25356.89</v>
      </c>
      <c r="M50" s="27"/>
      <c r="N50" s="1"/>
      <c r="O50" s="27">
        <f t="shared" si="2"/>
        <v>0</v>
      </c>
      <c r="P50" s="27"/>
      <c r="Q50" s="27"/>
      <c r="R50" s="20"/>
    </row>
    <row r="51" spans="1:38" s="28" customFormat="1" ht="13.9" customHeight="1">
      <c r="A51" s="24"/>
      <c r="B51" s="23" t="s">
        <v>316</v>
      </c>
      <c r="C51" s="24" t="s">
        <v>18</v>
      </c>
      <c r="D51" s="23"/>
      <c r="E51" s="23" t="s">
        <v>19</v>
      </c>
      <c r="F51" s="23" t="s">
        <v>353</v>
      </c>
      <c r="G51" s="23" t="s">
        <v>122</v>
      </c>
      <c r="H51" s="25">
        <v>18</v>
      </c>
      <c r="I51" s="1">
        <v>12</v>
      </c>
      <c r="J51" s="26">
        <v>12</v>
      </c>
      <c r="K51" s="27">
        <f>L51+M51</f>
        <v>13230.45</v>
      </c>
      <c r="L51" s="27">
        <v>13230.45</v>
      </c>
      <c r="M51" s="27"/>
      <c r="N51" s="1"/>
      <c r="O51" s="27">
        <f t="shared" si="2"/>
        <v>0</v>
      </c>
      <c r="P51" s="27"/>
      <c r="Q51" s="27"/>
      <c r="R51" s="20"/>
    </row>
    <row r="52" spans="1:38" ht="15" customHeight="1">
      <c r="A52" s="24">
        <v>23</v>
      </c>
      <c r="B52" s="23" t="s">
        <v>48</v>
      </c>
      <c r="C52" s="24" t="s">
        <v>18</v>
      </c>
      <c r="D52" s="23"/>
      <c r="E52" s="23" t="s">
        <v>19</v>
      </c>
      <c r="F52" s="23" t="s">
        <v>394</v>
      </c>
      <c r="G52" s="23" t="s">
        <v>142</v>
      </c>
      <c r="H52" s="25">
        <v>22</v>
      </c>
      <c r="I52" s="1">
        <v>15</v>
      </c>
      <c r="J52" s="26">
        <v>17</v>
      </c>
      <c r="K52" s="27">
        <f t="shared" si="1"/>
        <v>31025.68</v>
      </c>
      <c r="L52" s="27">
        <f>6913.6+7574.58+16537.5</f>
        <v>31025.68</v>
      </c>
      <c r="M52" s="27"/>
      <c r="N52" s="1">
        <v>8</v>
      </c>
      <c r="O52" s="27">
        <f t="shared" si="2"/>
        <v>41583.18</v>
      </c>
      <c r="P52" s="27">
        <f>21680.73+1973.37+10913.12+7015.96</f>
        <v>41583.18</v>
      </c>
      <c r="Q52" s="27"/>
      <c r="R52" s="20"/>
    </row>
    <row r="53" spans="1:38" s="28" customFormat="1" ht="15" customHeight="1">
      <c r="A53" s="24"/>
      <c r="B53" s="23" t="s">
        <v>48</v>
      </c>
      <c r="C53" s="24" t="s">
        <v>18</v>
      </c>
      <c r="D53" s="23"/>
      <c r="E53" s="23" t="s">
        <v>19</v>
      </c>
      <c r="F53" s="23" t="s">
        <v>120</v>
      </c>
      <c r="G53" s="23" t="s">
        <v>122</v>
      </c>
      <c r="H53" s="25">
        <v>0</v>
      </c>
      <c r="I53" s="1"/>
      <c r="J53" s="26"/>
      <c r="K53" s="27">
        <f t="shared" si="1"/>
        <v>0</v>
      </c>
      <c r="L53" s="27"/>
      <c r="M53" s="27"/>
      <c r="N53" s="1"/>
      <c r="O53" s="27">
        <f t="shared" si="2"/>
        <v>0</v>
      </c>
      <c r="P53" s="27"/>
      <c r="Q53" s="27"/>
      <c r="R53" s="20"/>
    </row>
    <row r="54" spans="1:38" ht="15" customHeight="1">
      <c r="A54" s="24">
        <v>24</v>
      </c>
      <c r="B54" s="23" t="s">
        <v>49</v>
      </c>
      <c r="C54" s="24" t="s">
        <v>18</v>
      </c>
      <c r="D54" s="23"/>
      <c r="E54" s="23" t="s">
        <v>19</v>
      </c>
      <c r="F54" s="23" t="s">
        <v>120</v>
      </c>
      <c r="G54" s="23" t="s">
        <v>142</v>
      </c>
      <c r="H54" s="25">
        <v>11</v>
      </c>
      <c r="I54" s="1">
        <v>3</v>
      </c>
      <c r="J54" s="26">
        <v>3</v>
      </c>
      <c r="K54" s="27">
        <f t="shared" si="1"/>
        <v>0</v>
      </c>
      <c r="L54" s="27"/>
      <c r="M54" s="27"/>
      <c r="N54" s="1">
        <v>10</v>
      </c>
      <c r="O54" s="27">
        <f t="shared" si="2"/>
        <v>0</v>
      </c>
      <c r="P54" s="27"/>
      <c r="Q54" s="27"/>
      <c r="R54" s="20"/>
    </row>
    <row r="55" spans="1:38" s="7" customFormat="1" ht="15" customHeight="1">
      <c r="A55" s="24">
        <v>25</v>
      </c>
      <c r="B55" s="23" t="s">
        <v>138</v>
      </c>
      <c r="C55" s="24" t="s">
        <v>18</v>
      </c>
      <c r="D55" s="23"/>
      <c r="E55" s="23" t="s">
        <v>34</v>
      </c>
      <c r="F55" s="23" t="s">
        <v>395</v>
      </c>
      <c r="G55" s="23" t="s">
        <v>142</v>
      </c>
      <c r="H55" s="25">
        <v>44</v>
      </c>
      <c r="I55" s="1">
        <v>27</v>
      </c>
      <c r="J55" s="26">
        <v>27</v>
      </c>
      <c r="K55" s="27">
        <f t="shared" si="1"/>
        <v>3401.55</v>
      </c>
      <c r="L55" s="27">
        <v>3401.55</v>
      </c>
      <c r="M55" s="27"/>
      <c r="N55" s="1">
        <v>14</v>
      </c>
      <c r="O55" s="27">
        <f t="shared" si="2"/>
        <v>132993.4</v>
      </c>
      <c r="P55" s="27">
        <f>77103.84+13697.43+2292.82+4884.26+5990.8+29024.25</f>
        <v>132993.4</v>
      </c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s="28" customFormat="1" ht="15" customHeight="1">
      <c r="A56" s="24"/>
      <c r="B56" s="23" t="s">
        <v>138</v>
      </c>
      <c r="C56" s="24" t="s">
        <v>18</v>
      </c>
      <c r="D56" s="23"/>
      <c r="E56" s="23" t="s">
        <v>34</v>
      </c>
      <c r="F56" s="23" t="s">
        <v>477</v>
      </c>
      <c r="G56" s="23" t="s">
        <v>136</v>
      </c>
      <c r="H56" s="25">
        <v>12</v>
      </c>
      <c r="I56" s="2">
        <v>5</v>
      </c>
      <c r="J56" s="26">
        <v>5</v>
      </c>
      <c r="K56" s="27">
        <f t="shared" si="1"/>
        <v>5396.6</v>
      </c>
      <c r="L56" s="27">
        <v>5396.6</v>
      </c>
      <c r="M56" s="27"/>
      <c r="N56" s="2">
        <v>3</v>
      </c>
      <c r="O56" s="27">
        <f t="shared" si="2"/>
        <v>6343.2</v>
      </c>
      <c r="P56" s="27">
        <v>6343.2</v>
      </c>
      <c r="Q56" s="27"/>
      <c r="R56" s="20"/>
    </row>
    <row r="57" spans="1:38" s="28" customFormat="1" ht="15" customHeight="1">
      <c r="A57" s="24">
        <v>26</v>
      </c>
      <c r="B57" s="23" t="s">
        <v>320</v>
      </c>
      <c r="C57" s="24" t="s">
        <v>18</v>
      </c>
      <c r="D57" s="23"/>
      <c r="E57" s="23" t="s">
        <v>370</v>
      </c>
      <c r="F57" s="23" t="s">
        <v>321</v>
      </c>
      <c r="G57" s="23" t="s">
        <v>124</v>
      </c>
      <c r="H57" s="25">
        <v>2</v>
      </c>
      <c r="I57" s="2">
        <v>1</v>
      </c>
      <c r="J57" s="26">
        <v>1</v>
      </c>
      <c r="K57" s="27">
        <f t="shared" si="1"/>
        <v>2430.12</v>
      </c>
      <c r="L57" s="27">
        <v>2430.12</v>
      </c>
      <c r="M57" s="27"/>
      <c r="N57" s="2"/>
      <c r="O57" s="27">
        <f t="shared" si="2"/>
        <v>0</v>
      </c>
      <c r="P57" s="27"/>
      <c r="Q57" s="27"/>
      <c r="R57" s="20"/>
    </row>
    <row r="58" spans="1:38" s="28" customFormat="1" ht="15" customHeight="1">
      <c r="A58" s="24"/>
      <c r="B58" s="23" t="s">
        <v>320</v>
      </c>
      <c r="C58" s="24" t="s">
        <v>18</v>
      </c>
      <c r="D58" s="23"/>
      <c r="E58" s="23" t="s">
        <v>36</v>
      </c>
      <c r="F58" s="23" t="s">
        <v>478</v>
      </c>
      <c r="G58" s="23" t="s">
        <v>136</v>
      </c>
      <c r="H58" s="25">
        <v>37</v>
      </c>
      <c r="I58" s="2">
        <v>30</v>
      </c>
      <c r="J58" s="26">
        <v>30</v>
      </c>
      <c r="K58" s="27">
        <f>L58+M58</f>
        <v>50458.5</v>
      </c>
      <c r="L58" s="27">
        <v>50458.5</v>
      </c>
      <c r="M58" s="27"/>
      <c r="N58" s="2"/>
      <c r="O58" s="27">
        <f>P58+Q58</f>
        <v>0</v>
      </c>
      <c r="P58" s="28">
        <v>0</v>
      </c>
      <c r="Q58" s="27"/>
      <c r="R58" s="20"/>
    </row>
    <row r="59" spans="1:38" s="8" customFormat="1">
      <c r="A59" s="78">
        <v>27</v>
      </c>
      <c r="B59" s="79" t="s">
        <v>147</v>
      </c>
      <c r="C59" s="80" t="s">
        <v>18</v>
      </c>
      <c r="D59" s="79"/>
      <c r="E59" s="79" t="s">
        <v>50</v>
      </c>
      <c r="F59" s="79"/>
      <c r="G59" s="79" t="s">
        <v>142</v>
      </c>
      <c r="H59" s="81">
        <v>0</v>
      </c>
      <c r="I59" s="82"/>
      <c r="J59" s="26"/>
      <c r="K59" s="27">
        <f t="shared" si="1"/>
        <v>0</v>
      </c>
      <c r="L59" s="83"/>
      <c r="M59" s="83"/>
      <c r="N59" s="26"/>
      <c r="O59" s="27">
        <f t="shared" si="2"/>
        <v>0</v>
      </c>
      <c r="P59" s="78"/>
      <c r="Q59" s="84"/>
      <c r="R59" s="20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s="8" customFormat="1">
      <c r="A60" s="78">
        <v>28</v>
      </c>
      <c r="B60" s="79" t="s">
        <v>379</v>
      </c>
      <c r="C60" s="80" t="s">
        <v>52</v>
      </c>
      <c r="D60" s="79" t="s">
        <v>378</v>
      </c>
      <c r="E60" s="79" t="s">
        <v>19</v>
      </c>
      <c r="F60" s="79" t="s">
        <v>396</v>
      </c>
      <c r="G60" s="79" t="s">
        <v>142</v>
      </c>
      <c r="H60" s="81">
        <v>18</v>
      </c>
      <c r="I60" s="82"/>
      <c r="J60" s="26"/>
      <c r="K60" s="27">
        <f t="shared" si="1"/>
        <v>0</v>
      </c>
      <c r="L60" s="83"/>
      <c r="M60" s="83"/>
      <c r="N60" s="26"/>
      <c r="O60" s="27">
        <f t="shared" si="2"/>
        <v>0</v>
      </c>
      <c r="P60" s="78"/>
      <c r="Q60" s="84"/>
      <c r="R60" s="20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s="8" customFormat="1">
      <c r="A61" s="78">
        <v>29</v>
      </c>
      <c r="B61" s="79" t="s">
        <v>332</v>
      </c>
      <c r="C61" s="80" t="s">
        <v>18</v>
      </c>
      <c r="D61" s="79"/>
      <c r="E61" s="79" t="s">
        <v>300</v>
      </c>
      <c r="F61" s="79" t="s">
        <v>397</v>
      </c>
      <c r="G61" s="79" t="s">
        <v>142</v>
      </c>
      <c r="H61" s="81">
        <v>61</v>
      </c>
      <c r="I61" s="26">
        <v>38</v>
      </c>
      <c r="J61" s="26">
        <v>43</v>
      </c>
      <c r="K61" s="27">
        <f t="shared" si="1"/>
        <v>66498.929999999993</v>
      </c>
      <c r="L61" s="85">
        <f>52775.63+725.79+12997.51</f>
        <v>66498.929999999993</v>
      </c>
      <c r="M61" s="85"/>
      <c r="N61" s="26"/>
      <c r="O61" s="27">
        <f t="shared" si="2"/>
        <v>0</v>
      </c>
      <c r="P61" s="78"/>
      <c r="Q61" s="84"/>
      <c r="R61" s="20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s="7" customFormat="1" ht="24.75" customHeight="1">
      <c r="A62" s="29">
        <v>30</v>
      </c>
      <c r="B62" s="30" t="s">
        <v>51</v>
      </c>
      <c r="C62" s="29" t="s">
        <v>52</v>
      </c>
      <c r="D62" s="30" t="s">
        <v>53</v>
      </c>
      <c r="E62" s="30" t="s">
        <v>19</v>
      </c>
      <c r="F62" s="30" t="s">
        <v>398</v>
      </c>
      <c r="G62" s="30" t="s">
        <v>142</v>
      </c>
      <c r="H62" s="25">
        <v>41</v>
      </c>
      <c r="I62" s="1">
        <v>32</v>
      </c>
      <c r="J62" s="26">
        <v>32</v>
      </c>
      <c r="K62" s="27">
        <f t="shared" si="1"/>
        <v>68695.87</v>
      </c>
      <c r="L62" s="27">
        <f>50815.1+5048.69+12832.08</f>
        <v>68695.87</v>
      </c>
      <c r="M62" s="27"/>
      <c r="N62" s="1">
        <v>23</v>
      </c>
      <c r="O62" s="27">
        <f t="shared" si="2"/>
        <v>45428.729999999996</v>
      </c>
      <c r="P62" s="27">
        <f>28261.6+9001+5225.43+2940.7</f>
        <v>45428.729999999996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31</v>
      </c>
      <c r="B63" s="23" t="s">
        <v>54</v>
      </c>
      <c r="C63" s="24" t="s">
        <v>18</v>
      </c>
      <c r="D63" s="23"/>
      <c r="E63" s="23" t="s">
        <v>19</v>
      </c>
      <c r="F63" s="23" t="s">
        <v>399</v>
      </c>
      <c r="G63" s="23" t="s">
        <v>142</v>
      </c>
      <c r="H63" s="25">
        <v>41</v>
      </c>
      <c r="I63" s="1">
        <v>29</v>
      </c>
      <c r="J63" s="26">
        <v>32</v>
      </c>
      <c r="K63" s="27">
        <f t="shared" si="1"/>
        <v>34743.509999999995</v>
      </c>
      <c r="L63" s="27">
        <f>12863.92+4313.38+9169.14+8397.07</f>
        <v>34743.509999999995</v>
      </c>
      <c r="M63" s="27"/>
      <c r="N63" s="1">
        <v>15</v>
      </c>
      <c r="O63" s="27">
        <f t="shared" si="2"/>
        <v>52558.11</v>
      </c>
      <c r="P63" s="27">
        <f>37111.35+7488.89+7957.87</f>
        <v>52558.11</v>
      </c>
      <c r="Q63" s="27"/>
      <c r="R63" s="20"/>
    </row>
    <row r="64" spans="1:38" s="28" customFormat="1" ht="15" customHeight="1">
      <c r="A64" s="24"/>
      <c r="B64" s="23" t="s">
        <v>54</v>
      </c>
      <c r="C64" s="24" t="s">
        <v>18</v>
      </c>
      <c r="D64" s="23"/>
      <c r="E64" s="23" t="s">
        <v>19</v>
      </c>
      <c r="F64" s="23" t="s">
        <v>480</v>
      </c>
      <c r="G64" s="23" t="s">
        <v>122</v>
      </c>
      <c r="H64" s="25">
        <v>26</v>
      </c>
      <c r="I64" s="1">
        <v>8</v>
      </c>
      <c r="J64" s="26">
        <v>9</v>
      </c>
      <c r="K64" s="27">
        <f t="shared" si="1"/>
        <v>13257.8</v>
      </c>
      <c r="L64" s="27">
        <v>13257.8</v>
      </c>
      <c r="M64" s="27"/>
      <c r="N64" s="1">
        <v>14</v>
      </c>
      <c r="O64" s="27">
        <f t="shared" si="2"/>
        <v>32954.9</v>
      </c>
      <c r="P64" s="27">
        <v>32954.9</v>
      </c>
      <c r="Q64" s="27"/>
      <c r="R64" s="20"/>
    </row>
    <row r="65" spans="1:38" s="7" customFormat="1" ht="15" customHeight="1">
      <c r="A65" s="24">
        <v>32</v>
      </c>
      <c r="B65" s="23" t="s">
        <v>55</v>
      </c>
      <c r="C65" s="24" t="s">
        <v>18</v>
      </c>
      <c r="D65" s="23"/>
      <c r="E65" s="23" t="s">
        <v>19</v>
      </c>
      <c r="F65" s="23" t="s">
        <v>400</v>
      </c>
      <c r="G65" s="23" t="s">
        <v>142</v>
      </c>
      <c r="H65" s="25">
        <v>13</v>
      </c>
      <c r="I65" s="1">
        <v>12</v>
      </c>
      <c r="J65" s="26">
        <v>16</v>
      </c>
      <c r="K65" s="27">
        <f t="shared" si="1"/>
        <v>31400.14</v>
      </c>
      <c r="L65" s="27">
        <f>20736.11+9818.27+845.76</f>
        <v>31400.14</v>
      </c>
      <c r="M65" s="27"/>
      <c r="N65" s="1">
        <v>23</v>
      </c>
      <c r="O65" s="27">
        <f t="shared" si="2"/>
        <v>80493.709999999992</v>
      </c>
      <c r="P65" s="27">
        <f>26863.22+11253.87+2546.79+3805.92+11044.03+9762.06+13756.9+1460.92</f>
        <v>80493.709999999992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28" customFormat="1" ht="15.6" customHeight="1">
      <c r="A66" s="24"/>
      <c r="B66" s="23" t="s">
        <v>55</v>
      </c>
      <c r="C66" s="24" t="s">
        <v>18</v>
      </c>
      <c r="D66" s="23"/>
      <c r="E66" s="23" t="s">
        <v>19</v>
      </c>
      <c r="F66" s="23" t="s">
        <v>352</v>
      </c>
      <c r="G66" s="23" t="s">
        <v>122</v>
      </c>
      <c r="H66" s="25">
        <v>13</v>
      </c>
      <c r="I66" s="1">
        <v>8</v>
      </c>
      <c r="J66" s="26">
        <v>8</v>
      </c>
      <c r="K66" s="27">
        <f t="shared" si="1"/>
        <v>10924.4</v>
      </c>
      <c r="L66" s="27">
        <v>10924.4</v>
      </c>
      <c r="M66" s="27"/>
      <c r="N66" s="1">
        <v>19</v>
      </c>
      <c r="O66" s="27">
        <f t="shared" si="2"/>
        <v>51996.62</v>
      </c>
      <c r="P66" s="27">
        <v>51996.62</v>
      </c>
      <c r="Q66" s="27"/>
      <c r="R66" s="20"/>
    </row>
    <row r="67" spans="1:38" s="7" customFormat="1" ht="15" customHeight="1">
      <c r="A67" s="24">
        <v>33</v>
      </c>
      <c r="B67" s="23" t="s">
        <v>56</v>
      </c>
      <c r="C67" s="24" t="s">
        <v>52</v>
      </c>
      <c r="D67" s="23" t="s">
        <v>57</v>
      </c>
      <c r="E67" s="23" t="s">
        <v>19</v>
      </c>
      <c r="F67" s="23" t="s">
        <v>401</v>
      </c>
      <c r="G67" s="23" t="s">
        <v>142</v>
      </c>
      <c r="H67" s="25">
        <v>28</v>
      </c>
      <c r="I67" s="1">
        <v>16</v>
      </c>
      <c r="J67" s="26">
        <v>18</v>
      </c>
      <c r="K67" s="27">
        <f t="shared" si="1"/>
        <v>27274.25</v>
      </c>
      <c r="L67" s="27">
        <f>6395.62+792.9+20085.73</f>
        <v>27274.25</v>
      </c>
      <c r="M67" s="27"/>
      <c r="N67" s="1">
        <v>10</v>
      </c>
      <c r="O67" s="27">
        <f t="shared" si="2"/>
        <v>22240.77</v>
      </c>
      <c r="P67" s="27">
        <f>11007.39+4548.49+6684.89</f>
        <v>22240.77</v>
      </c>
      <c r="Q67" s="27"/>
      <c r="R67" s="20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 spans="1:38" s="7" customFormat="1" ht="15" customHeight="1">
      <c r="A68" s="24">
        <v>34</v>
      </c>
      <c r="B68" s="23" t="s">
        <v>58</v>
      </c>
      <c r="C68" s="24" t="s">
        <v>18</v>
      </c>
      <c r="D68" s="23"/>
      <c r="E68" s="23" t="s">
        <v>19</v>
      </c>
      <c r="F68" s="23" t="s">
        <v>402</v>
      </c>
      <c r="G68" s="23" t="s">
        <v>142</v>
      </c>
      <c r="H68" s="25">
        <v>20</v>
      </c>
      <c r="I68" s="1">
        <v>16</v>
      </c>
      <c r="J68" s="26">
        <v>16</v>
      </c>
      <c r="K68" s="27">
        <f t="shared" si="1"/>
        <v>14868.1</v>
      </c>
      <c r="L68" s="27">
        <f>14205.34+662.76</f>
        <v>14868.1</v>
      </c>
      <c r="M68" s="27"/>
      <c r="N68" s="1">
        <v>11</v>
      </c>
      <c r="O68" s="27">
        <f t="shared" si="2"/>
        <v>101513.66</v>
      </c>
      <c r="P68" s="27">
        <f>100020.28+1493.38</f>
        <v>101513.66</v>
      </c>
      <c r="Q68" s="27"/>
      <c r="R68" s="20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 spans="1:38" s="28" customFormat="1" ht="15" customHeight="1">
      <c r="A69" s="24"/>
      <c r="B69" s="23" t="s">
        <v>58</v>
      </c>
      <c r="C69" s="24" t="s">
        <v>18</v>
      </c>
      <c r="D69" s="23"/>
      <c r="E69" s="23" t="s">
        <v>19</v>
      </c>
      <c r="F69" s="23" t="s">
        <v>451</v>
      </c>
      <c r="G69" s="23" t="s">
        <v>122</v>
      </c>
      <c r="H69" s="25">
        <v>2</v>
      </c>
      <c r="I69" s="1">
        <v>1</v>
      </c>
      <c r="J69" s="26">
        <v>1</v>
      </c>
      <c r="K69" s="27">
        <f t="shared" si="1"/>
        <v>0</v>
      </c>
      <c r="L69" s="27"/>
      <c r="M69" s="27"/>
      <c r="N69" s="1">
        <v>7</v>
      </c>
      <c r="O69" s="27">
        <f t="shared" si="2"/>
        <v>16873.05</v>
      </c>
      <c r="P69" s="27">
        <v>16873.05</v>
      </c>
      <c r="Q69" s="27"/>
      <c r="R69" s="20"/>
    </row>
    <row r="70" spans="1:38" ht="15" customHeight="1">
      <c r="A70" s="24">
        <v>35</v>
      </c>
      <c r="B70" s="23" t="s">
        <v>59</v>
      </c>
      <c r="C70" s="24" t="s">
        <v>18</v>
      </c>
      <c r="D70" s="23"/>
      <c r="E70" s="23" t="s">
        <v>60</v>
      </c>
      <c r="F70" s="23" t="s">
        <v>403</v>
      </c>
      <c r="G70" s="23" t="s">
        <v>142</v>
      </c>
      <c r="H70" s="25">
        <v>37</v>
      </c>
      <c r="I70" s="1">
        <v>19</v>
      </c>
      <c r="J70" s="26">
        <v>23</v>
      </c>
      <c r="K70" s="27">
        <f t="shared" si="1"/>
        <v>24636.789999999997</v>
      </c>
      <c r="L70" s="27">
        <f>17853.64+4720.99+2062.16</f>
        <v>24636.789999999997</v>
      </c>
      <c r="M70" s="27"/>
      <c r="N70" s="1">
        <v>13</v>
      </c>
      <c r="O70" s="27">
        <f t="shared" si="2"/>
        <v>25064.31</v>
      </c>
      <c r="P70" s="27">
        <f>9835.58+2635.74+7253.45+5339.54</f>
        <v>25064.31</v>
      </c>
      <c r="Q70" s="27"/>
      <c r="R70" s="20"/>
    </row>
    <row r="71" spans="1:38" s="28" customFormat="1" ht="15" customHeight="1">
      <c r="A71" s="24"/>
      <c r="B71" s="23" t="s">
        <v>139</v>
      </c>
      <c r="C71" s="24" t="s">
        <v>18</v>
      </c>
      <c r="D71" s="23"/>
      <c r="E71" s="23" t="s">
        <v>60</v>
      </c>
      <c r="F71" s="23" t="s">
        <v>362</v>
      </c>
      <c r="G71" s="23" t="s">
        <v>136</v>
      </c>
      <c r="H71" s="25">
        <v>14</v>
      </c>
      <c r="I71" s="2">
        <v>5</v>
      </c>
      <c r="J71" s="26">
        <v>5</v>
      </c>
      <c r="K71" s="27">
        <f t="shared" si="1"/>
        <v>4933.6000000000004</v>
      </c>
      <c r="L71" s="27">
        <v>4933.6000000000004</v>
      </c>
      <c r="M71" s="27"/>
      <c r="N71" s="2">
        <v>6</v>
      </c>
      <c r="O71" s="27">
        <f t="shared" si="2"/>
        <v>6756.51</v>
      </c>
      <c r="P71" s="27">
        <v>6756.51</v>
      </c>
      <c r="Q71" s="27"/>
      <c r="R71" s="20"/>
    </row>
    <row r="72" spans="1:38" ht="15" customHeight="1">
      <c r="A72" s="24">
        <v>36</v>
      </c>
      <c r="B72" s="23" t="s">
        <v>333</v>
      </c>
      <c r="C72" s="24" t="s">
        <v>18</v>
      </c>
      <c r="D72" s="23"/>
      <c r="E72" s="23" t="s">
        <v>104</v>
      </c>
      <c r="F72" s="23" t="s">
        <v>404</v>
      </c>
      <c r="G72" s="23" t="s">
        <v>142</v>
      </c>
      <c r="H72" s="25">
        <v>38</v>
      </c>
      <c r="I72" s="2">
        <v>28</v>
      </c>
      <c r="J72" s="26">
        <v>28</v>
      </c>
      <c r="K72" s="27">
        <f t="shared" si="1"/>
        <v>38640.449999999997</v>
      </c>
      <c r="L72" s="27">
        <f>14696.49+23943.96</f>
        <v>38640.449999999997</v>
      </c>
      <c r="M72" s="27"/>
      <c r="N72" s="2"/>
      <c r="O72" s="27">
        <f t="shared" si="2"/>
        <v>0</v>
      </c>
      <c r="P72" s="27"/>
      <c r="Q72" s="27"/>
      <c r="R72" s="20"/>
    </row>
    <row r="73" spans="1:38" s="7" customFormat="1" ht="15" customHeight="1">
      <c r="A73" s="24">
        <v>37</v>
      </c>
      <c r="B73" s="23" t="s">
        <v>61</v>
      </c>
      <c r="C73" s="24" t="s">
        <v>18</v>
      </c>
      <c r="D73" s="23"/>
      <c r="E73" s="23" t="s">
        <v>41</v>
      </c>
      <c r="F73" s="23" t="s">
        <v>405</v>
      </c>
      <c r="G73" s="23" t="s">
        <v>142</v>
      </c>
      <c r="H73" s="25">
        <v>65</v>
      </c>
      <c r="I73" s="1">
        <v>37</v>
      </c>
      <c r="J73" s="26">
        <v>38</v>
      </c>
      <c r="K73" s="27">
        <f t="shared" si="1"/>
        <v>38741.629999999997</v>
      </c>
      <c r="L73" s="27">
        <f>30810.21+6723.72+1207.7</f>
        <v>38741.629999999997</v>
      </c>
      <c r="M73" s="27"/>
      <c r="N73" s="1">
        <v>25</v>
      </c>
      <c r="O73" s="27">
        <f t="shared" si="2"/>
        <v>205302.68</v>
      </c>
      <c r="P73" s="27">
        <f>163872.71+3626.37+37803.6</f>
        <v>205302.68</v>
      </c>
      <c r="Q73" s="27"/>
      <c r="R73" s="20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 spans="1:38" s="28" customFormat="1" ht="15" customHeight="1">
      <c r="A74" s="24"/>
      <c r="B74" s="23" t="s">
        <v>61</v>
      </c>
      <c r="C74" s="24" t="s">
        <v>18</v>
      </c>
      <c r="D74" s="23"/>
      <c r="E74" s="23" t="s">
        <v>41</v>
      </c>
      <c r="F74" s="23" t="s">
        <v>292</v>
      </c>
      <c r="G74" s="23" t="s">
        <v>136</v>
      </c>
      <c r="H74" s="25">
        <v>0</v>
      </c>
      <c r="I74" s="2"/>
      <c r="J74" s="26"/>
      <c r="K74" s="27">
        <f t="shared" si="1"/>
        <v>0</v>
      </c>
      <c r="L74" s="27"/>
      <c r="M74" s="27"/>
      <c r="N74" s="2"/>
      <c r="O74" s="27">
        <f t="shared" si="2"/>
        <v>0</v>
      </c>
      <c r="P74" s="27"/>
      <c r="Q74" s="27"/>
      <c r="R74" s="20"/>
    </row>
    <row r="75" spans="1:38" ht="15" customHeight="1">
      <c r="A75" s="24">
        <v>38</v>
      </c>
      <c r="B75" s="23" t="s">
        <v>62</v>
      </c>
      <c r="C75" s="24" t="s">
        <v>18</v>
      </c>
      <c r="D75" s="23"/>
      <c r="E75" s="23" t="s">
        <v>19</v>
      </c>
      <c r="F75" s="23" t="s">
        <v>406</v>
      </c>
      <c r="G75" s="23" t="s">
        <v>142</v>
      </c>
      <c r="H75" s="25">
        <v>54</v>
      </c>
      <c r="I75" s="1">
        <v>38</v>
      </c>
      <c r="J75" s="26">
        <v>39</v>
      </c>
      <c r="K75" s="27">
        <f t="shared" si="1"/>
        <v>70150.51999999999</v>
      </c>
      <c r="L75" s="27">
        <f>26694.03+43456.49</f>
        <v>70150.51999999999</v>
      </c>
      <c r="M75" s="27"/>
      <c r="N75" s="1">
        <v>13</v>
      </c>
      <c r="O75" s="27">
        <f t="shared" si="2"/>
        <v>56018.810000000005</v>
      </c>
      <c r="P75" s="27">
        <f>40094.13+14598.7+1325.98</f>
        <v>56018.810000000005</v>
      </c>
      <c r="Q75" s="27"/>
      <c r="R75" s="20"/>
    </row>
    <row r="76" spans="1:38" s="28" customFormat="1" ht="15" customHeight="1">
      <c r="A76" s="24"/>
      <c r="B76" s="23" t="s">
        <v>62</v>
      </c>
      <c r="C76" s="24" t="s">
        <v>18</v>
      </c>
      <c r="D76" s="23"/>
      <c r="E76" s="23" t="s">
        <v>19</v>
      </c>
      <c r="F76" s="23" t="s">
        <v>491</v>
      </c>
      <c r="G76" s="23" t="s">
        <v>124</v>
      </c>
      <c r="H76" s="25">
        <v>4</v>
      </c>
      <c r="I76" s="1">
        <v>1</v>
      </c>
      <c r="J76" s="26">
        <v>1</v>
      </c>
      <c r="K76" s="27">
        <f t="shared" ref="K76:K138" si="3">L76+M76</f>
        <v>0</v>
      </c>
      <c r="L76" s="27"/>
      <c r="M76" s="27"/>
      <c r="N76" s="1">
        <v>1</v>
      </c>
      <c r="O76" s="27">
        <f t="shared" ref="O76:O139" si="4">P76+Q76</f>
        <v>2146.4</v>
      </c>
      <c r="P76" s="27">
        <v>2146.4</v>
      </c>
      <c r="Q76" s="27"/>
      <c r="R76" s="20"/>
    </row>
    <row r="77" spans="1:38" s="28" customFormat="1" ht="15" customHeight="1">
      <c r="A77" s="24"/>
      <c r="B77" s="23" t="s">
        <v>62</v>
      </c>
      <c r="C77" s="24" t="s">
        <v>18</v>
      </c>
      <c r="D77" s="23"/>
      <c r="E77" s="23" t="s">
        <v>19</v>
      </c>
      <c r="F77" s="23" t="s">
        <v>452</v>
      </c>
      <c r="G77" s="23" t="s">
        <v>122</v>
      </c>
      <c r="H77" s="25">
        <v>21</v>
      </c>
      <c r="I77" s="1">
        <v>4</v>
      </c>
      <c r="J77" s="26">
        <v>4</v>
      </c>
      <c r="K77" s="27">
        <f t="shared" si="3"/>
        <v>9750.2999999999993</v>
      </c>
      <c r="L77" s="27">
        <v>9750.2999999999993</v>
      </c>
      <c r="M77" s="27"/>
      <c r="N77" s="1">
        <v>12</v>
      </c>
      <c r="O77" s="27">
        <f t="shared" si="4"/>
        <v>47402.14</v>
      </c>
      <c r="P77" s="27">
        <v>47402.14</v>
      </c>
      <c r="Q77" s="27"/>
      <c r="R77" s="20"/>
    </row>
    <row r="78" spans="1:38" s="28" customFormat="1" ht="15" customHeight="1">
      <c r="A78" s="24"/>
      <c r="B78" s="23" t="s">
        <v>62</v>
      </c>
      <c r="C78" s="24" t="s">
        <v>18</v>
      </c>
      <c r="D78" s="23"/>
      <c r="E78" s="23" t="s">
        <v>19</v>
      </c>
      <c r="F78" s="23" t="s">
        <v>472</v>
      </c>
      <c r="G78" s="23" t="s">
        <v>210</v>
      </c>
      <c r="H78" s="25">
        <v>7</v>
      </c>
      <c r="I78" s="1">
        <v>5</v>
      </c>
      <c r="J78" s="26">
        <v>6</v>
      </c>
      <c r="K78" s="27">
        <f t="shared" si="3"/>
        <v>6478.74</v>
      </c>
      <c r="L78" s="27">
        <v>6478.74</v>
      </c>
      <c r="M78" s="27"/>
      <c r="N78" s="1">
        <v>10</v>
      </c>
      <c r="O78" s="27">
        <f t="shared" si="4"/>
        <v>44190.1</v>
      </c>
      <c r="P78" s="27">
        <v>44190.1</v>
      </c>
      <c r="Q78" s="27"/>
      <c r="R78" s="20"/>
    </row>
    <row r="79" spans="1:38" ht="15" customHeight="1">
      <c r="A79" s="24">
        <v>39</v>
      </c>
      <c r="B79" s="23" t="s">
        <v>63</v>
      </c>
      <c r="C79" s="24" t="s">
        <v>18</v>
      </c>
      <c r="D79" s="23"/>
      <c r="E79" s="23" t="s">
        <v>41</v>
      </c>
      <c r="F79" s="23" t="s">
        <v>407</v>
      </c>
      <c r="G79" s="23" t="s">
        <v>142</v>
      </c>
      <c r="H79" s="25">
        <v>27</v>
      </c>
      <c r="I79" s="1">
        <v>18</v>
      </c>
      <c r="J79" s="26">
        <v>18</v>
      </c>
      <c r="K79" s="27">
        <f t="shared" si="3"/>
        <v>25768.78</v>
      </c>
      <c r="L79" s="27">
        <f>4400.6+4794.4+11900.39+4673.39</f>
        <v>25768.78</v>
      </c>
      <c r="M79" s="27"/>
      <c r="N79" s="1">
        <v>21</v>
      </c>
      <c r="O79" s="27">
        <f t="shared" si="4"/>
        <v>84438.98</v>
      </c>
      <c r="P79" s="27">
        <f>67887.14+8549.12+2664.63+5338.09</f>
        <v>84438.98</v>
      </c>
      <c r="Q79" s="27"/>
      <c r="R79" s="20"/>
    </row>
    <row r="80" spans="1:38" s="28" customFormat="1" ht="15" customHeight="1">
      <c r="A80" s="24"/>
      <c r="B80" s="23" t="s">
        <v>63</v>
      </c>
      <c r="C80" s="24" t="s">
        <v>18</v>
      </c>
      <c r="D80" s="23"/>
      <c r="E80" s="23" t="s">
        <v>41</v>
      </c>
      <c r="F80" s="23" t="s">
        <v>363</v>
      </c>
      <c r="G80" s="23" t="s">
        <v>136</v>
      </c>
      <c r="H80" s="25">
        <v>30</v>
      </c>
      <c r="I80" s="2">
        <v>9</v>
      </c>
      <c r="J80" s="26">
        <v>9</v>
      </c>
      <c r="K80" s="27">
        <f t="shared" si="3"/>
        <v>20311.099999999999</v>
      </c>
      <c r="L80" s="27">
        <v>20311.099999999999</v>
      </c>
      <c r="M80" s="27"/>
      <c r="N80" s="2">
        <v>16</v>
      </c>
      <c r="O80" s="27">
        <f t="shared" si="4"/>
        <v>92076.01</v>
      </c>
      <c r="P80" s="27">
        <v>92076.01</v>
      </c>
      <c r="Q80" s="27"/>
      <c r="R80" s="20"/>
    </row>
    <row r="81" spans="1:38" s="17" customFormat="1" ht="15" customHeight="1">
      <c r="A81" s="24">
        <v>40</v>
      </c>
      <c r="B81" s="23" t="s">
        <v>64</v>
      </c>
      <c r="C81" s="24" t="s">
        <v>18</v>
      </c>
      <c r="D81" s="23"/>
      <c r="E81" s="23" t="s">
        <v>41</v>
      </c>
      <c r="F81" s="23" t="s">
        <v>123</v>
      </c>
      <c r="G81" s="23" t="s">
        <v>142</v>
      </c>
      <c r="H81" s="25">
        <v>0</v>
      </c>
      <c r="I81" s="2"/>
      <c r="J81" s="26"/>
      <c r="K81" s="27">
        <f t="shared" si="3"/>
        <v>0</v>
      </c>
      <c r="L81" s="27"/>
      <c r="M81" s="27"/>
      <c r="N81" s="2">
        <v>7</v>
      </c>
      <c r="O81" s="27">
        <f t="shared" si="4"/>
        <v>22375</v>
      </c>
      <c r="P81" s="27">
        <f>10043.4+8281.4+4050.2</f>
        <v>22375</v>
      </c>
      <c r="Q81" s="27"/>
      <c r="R81" s="20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:38" s="28" customFormat="1" ht="15" customHeight="1">
      <c r="A82" s="24"/>
      <c r="B82" s="23" t="s">
        <v>64</v>
      </c>
      <c r="C82" s="24" t="s">
        <v>18</v>
      </c>
      <c r="D82" s="23"/>
      <c r="E82" s="23" t="s">
        <v>41</v>
      </c>
      <c r="F82" s="23" t="s">
        <v>351</v>
      </c>
      <c r="G82" s="23" t="s">
        <v>122</v>
      </c>
      <c r="H82" s="25">
        <v>18</v>
      </c>
      <c r="I82" s="1">
        <v>4</v>
      </c>
      <c r="J82" s="26">
        <v>4</v>
      </c>
      <c r="K82" s="27">
        <f t="shared" si="3"/>
        <v>9717.2000000000007</v>
      </c>
      <c r="L82" s="27">
        <v>9717.2000000000007</v>
      </c>
      <c r="M82" s="27"/>
      <c r="N82" s="1">
        <v>15</v>
      </c>
      <c r="O82" s="27">
        <f t="shared" si="4"/>
        <v>16741.75</v>
      </c>
      <c r="P82" s="27">
        <v>16741.75</v>
      </c>
      <c r="Q82" s="27"/>
      <c r="R82" s="20"/>
    </row>
    <row r="83" spans="1:38" ht="15" customHeight="1">
      <c r="A83" s="24">
        <v>41</v>
      </c>
      <c r="B83" s="23" t="s">
        <v>458</v>
      </c>
      <c r="C83" s="24" t="s">
        <v>18</v>
      </c>
      <c r="D83" s="23"/>
      <c r="E83" s="23" t="s">
        <v>104</v>
      </c>
      <c r="F83" s="23" t="s">
        <v>463</v>
      </c>
      <c r="G83" s="23" t="s">
        <v>142</v>
      </c>
      <c r="H83" s="25">
        <v>25</v>
      </c>
      <c r="I83" s="1">
        <v>22</v>
      </c>
      <c r="J83" s="26">
        <v>24</v>
      </c>
      <c r="K83" s="27">
        <f t="shared" si="3"/>
        <v>20358.79</v>
      </c>
      <c r="L83" s="27">
        <v>20358.79</v>
      </c>
      <c r="M83" s="27"/>
      <c r="N83" s="1"/>
      <c r="O83" s="27">
        <f t="shared" si="4"/>
        <v>0</v>
      </c>
      <c r="P83" s="27"/>
      <c r="Q83" s="27"/>
      <c r="R83" s="20"/>
    </row>
    <row r="84" spans="1:38" s="28" customFormat="1" ht="15" customHeight="1">
      <c r="A84" s="24"/>
      <c r="B84" s="23" t="s">
        <v>458</v>
      </c>
      <c r="C84" s="24" t="s">
        <v>18</v>
      </c>
      <c r="D84" s="23"/>
      <c r="E84" s="23" t="s">
        <v>104</v>
      </c>
      <c r="F84" s="23" t="s">
        <v>459</v>
      </c>
      <c r="G84" s="23" t="s">
        <v>122</v>
      </c>
      <c r="H84" s="25">
        <v>11</v>
      </c>
      <c r="I84" s="1">
        <v>4</v>
      </c>
      <c r="J84" s="26">
        <v>4</v>
      </c>
      <c r="K84" s="27">
        <f t="shared" si="3"/>
        <v>782.43</v>
      </c>
      <c r="L84" s="27">
        <v>782.43</v>
      </c>
      <c r="M84" s="27"/>
      <c r="N84" s="1"/>
      <c r="O84" s="27">
        <f t="shared" si="4"/>
        <v>0</v>
      </c>
      <c r="P84" s="27"/>
      <c r="Q84" s="27"/>
      <c r="R84" s="20"/>
    </row>
    <row r="85" spans="1:38" s="17" customFormat="1" ht="15" customHeight="1">
      <c r="A85" s="24">
        <v>42</v>
      </c>
      <c r="B85" s="23" t="s">
        <v>238</v>
      </c>
      <c r="C85" s="24" t="s">
        <v>18</v>
      </c>
      <c r="D85" s="23"/>
      <c r="E85" s="23" t="s">
        <v>41</v>
      </c>
      <c r="F85" s="23" t="s">
        <v>408</v>
      </c>
      <c r="G85" s="23" t="s">
        <v>142</v>
      </c>
      <c r="H85" s="25">
        <v>113</v>
      </c>
      <c r="I85" s="1">
        <v>75</v>
      </c>
      <c r="J85" s="26">
        <v>80</v>
      </c>
      <c r="K85" s="27">
        <f t="shared" si="3"/>
        <v>102901.72</v>
      </c>
      <c r="L85" s="27">
        <f>47012.42+1318.18+6857.59+47713.53</f>
        <v>102901.72</v>
      </c>
      <c r="M85" s="27"/>
      <c r="N85" s="1">
        <v>3</v>
      </c>
      <c r="O85" s="27">
        <f t="shared" si="4"/>
        <v>18544.34</v>
      </c>
      <c r="P85" s="27">
        <f>9777.93+2733.45+6032.96</f>
        <v>18544.34</v>
      </c>
      <c r="Q85" s="27"/>
      <c r="R85" s="20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s="28" customFormat="1" ht="15" customHeight="1">
      <c r="A86" s="41">
        <v>43</v>
      </c>
      <c r="B86" s="37" t="s">
        <v>486</v>
      </c>
      <c r="C86" s="41" t="s">
        <v>18</v>
      </c>
      <c r="D86" s="37"/>
      <c r="E86" s="37" t="s">
        <v>488</v>
      </c>
      <c r="F86" s="37" t="s">
        <v>494</v>
      </c>
      <c r="G86" s="37" t="s">
        <v>131</v>
      </c>
      <c r="H86" s="42">
        <v>15</v>
      </c>
      <c r="I86" s="40">
        <v>5</v>
      </c>
      <c r="J86" s="43">
        <v>5</v>
      </c>
      <c r="K86" s="27">
        <f t="shared" si="3"/>
        <v>0</v>
      </c>
      <c r="L86" s="39"/>
      <c r="M86" s="39"/>
      <c r="N86" s="40"/>
      <c r="O86" s="27">
        <f t="shared" si="4"/>
        <v>0</v>
      </c>
      <c r="P86" s="39"/>
      <c r="Q86" s="39"/>
      <c r="R86" s="20"/>
    </row>
    <row r="87" spans="1:38" s="7" customFormat="1" ht="15" customHeight="1">
      <c r="A87" s="24">
        <v>44</v>
      </c>
      <c r="B87" s="23" t="s">
        <v>65</v>
      </c>
      <c r="C87" s="24" t="s">
        <v>18</v>
      </c>
      <c r="D87" s="23"/>
      <c r="E87" s="23" t="s">
        <v>66</v>
      </c>
      <c r="F87" s="23" t="s">
        <v>409</v>
      </c>
      <c r="G87" s="23" t="s">
        <v>142</v>
      </c>
      <c r="H87" s="25">
        <v>13</v>
      </c>
      <c r="I87" s="1">
        <v>7</v>
      </c>
      <c r="J87" s="26">
        <v>13</v>
      </c>
      <c r="K87" s="27">
        <f t="shared" si="3"/>
        <v>18814.5</v>
      </c>
      <c r="L87" s="27">
        <f>8041.41+676.97+10096.12</f>
        <v>18814.5</v>
      </c>
      <c r="M87" s="27"/>
      <c r="N87" s="1">
        <v>18</v>
      </c>
      <c r="O87" s="27">
        <f t="shared" si="4"/>
        <v>29684.100000000002</v>
      </c>
      <c r="P87" s="27">
        <f>10572.76+9307.1+2622.13+7182.11</f>
        <v>29684.100000000002</v>
      </c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s="28" customFormat="1" ht="15" customHeight="1">
      <c r="A88" s="24"/>
      <c r="B88" s="23" t="s">
        <v>65</v>
      </c>
      <c r="C88" s="24" t="s">
        <v>18</v>
      </c>
      <c r="D88" s="23"/>
      <c r="E88" s="23" t="s">
        <v>66</v>
      </c>
      <c r="F88" s="23" t="s">
        <v>123</v>
      </c>
      <c r="G88" s="23" t="s">
        <v>136</v>
      </c>
      <c r="H88" s="25">
        <v>0</v>
      </c>
      <c r="I88" s="2"/>
      <c r="J88" s="26"/>
      <c r="K88" s="27">
        <f t="shared" si="3"/>
        <v>0</v>
      </c>
      <c r="L88" s="27"/>
      <c r="M88" s="27"/>
      <c r="N88" s="2"/>
      <c r="O88" s="27">
        <f t="shared" si="4"/>
        <v>0</v>
      </c>
      <c r="P88" s="27"/>
      <c r="Q88" s="27"/>
      <c r="R88" s="20"/>
    </row>
    <row r="89" spans="1:38" s="7" customFormat="1" ht="15" customHeight="1">
      <c r="A89" s="24">
        <v>45</v>
      </c>
      <c r="B89" s="23" t="s">
        <v>67</v>
      </c>
      <c r="C89" s="24" t="s">
        <v>18</v>
      </c>
      <c r="D89" s="23"/>
      <c r="E89" s="23" t="s">
        <v>19</v>
      </c>
      <c r="F89" s="23" t="s">
        <v>410</v>
      </c>
      <c r="G89" s="23" t="s">
        <v>142</v>
      </c>
      <c r="H89" s="25">
        <v>59</v>
      </c>
      <c r="I89" s="1">
        <v>51</v>
      </c>
      <c r="J89" s="26">
        <v>53</v>
      </c>
      <c r="K89" s="27">
        <f t="shared" si="3"/>
        <v>86891.239999999991</v>
      </c>
      <c r="L89" s="27">
        <f>48423.27+34219.84+4248.13</f>
        <v>86891.239999999991</v>
      </c>
      <c r="M89" s="27"/>
      <c r="N89" s="1">
        <v>22</v>
      </c>
      <c r="O89" s="27">
        <f t="shared" si="4"/>
        <v>83766.290000000008</v>
      </c>
      <c r="P89" s="27">
        <f>28719.49+11418.7+1050.57+31536.27+7716.16+1245.14+2079.96</f>
        <v>83766.290000000008</v>
      </c>
      <c r="Q89" s="27"/>
      <c r="R89" s="20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 spans="1:38" s="28" customFormat="1" ht="15" customHeight="1">
      <c r="A90" s="24"/>
      <c r="B90" s="23" t="s">
        <v>67</v>
      </c>
      <c r="C90" s="24" t="s">
        <v>18</v>
      </c>
      <c r="D90" s="23"/>
      <c r="E90" s="23" t="s">
        <v>104</v>
      </c>
      <c r="F90" s="23" t="s">
        <v>123</v>
      </c>
      <c r="G90" s="23" t="s">
        <v>122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>
        <v>46</v>
      </c>
      <c r="B91" s="23" t="s">
        <v>68</v>
      </c>
      <c r="C91" s="24" t="s">
        <v>18</v>
      </c>
      <c r="D91" s="24"/>
      <c r="E91" s="23" t="s">
        <v>50</v>
      </c>
      <c r="F91" s="23" t="s">
        <v>411</v>
      </c>
      <c r="G91" s="23" t="s">
        <v>142</v>
      </c>
      <c r="H91" s="25">
        <v>12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s="28" customFormat="1" ht="15" customHeight="1">
      <c r="A92" s="24"/>
      <c r="B92" s="23" t="s">
        <v>68</v>
      </c>
      <c r="C92" s="24" t="s">
        <v>18</v>
      </c>
      <c r="D92" s="23"/>
      <c r="E92" s="23" t="s">
        <v>50</v>
      </c>
      <c r="F92" s="23" t="s">
        <v>123</v>
      </c>
      <c r="G92" s="23" t="s">
        <v>136</v>
      </c>
      <c r="H92" s="25">
        <v>0</v>
      </c>
      <c r="I92" s="2"/>
      <c r="J92" s="26"/>
      <c r="K92" s="27">
        <f t="shared" si="3"/>
        <v>0</v>
      </c>
      <c r="L92" s="27"/>
      <c r="M92" s="27"/>
      <c r="N92" s="2"/>
      <c r="O92" s="27">
        <f t="shared" si="4"/>
        <v>0</v>
      </c>
      <c r="P92" s="27"/>
      <c r="Q92" s="27"/>
      <c r="R92" s="20"/>
    </row>
    <row r="93" spans="1:38" s="28" customFormat="1" ht="15" customHeight="1">
      <c r="A93" s="24"/>
      <c r="B93" s="23" t="s">
        <v>68</v>
      </c>
      <c r="C93" s="24" t="s">
        <v>18</v>
      </c>
      <c r="D93" s="23"/>
      <c r="E93" s="23" t="s">
        <v>50</v>
      </c>
      <c r="F93" s="23" t="s">
        <v>292</v>
      </c>
      <c r="G93" s="23" t="s">
        <v>124</v>
      </c>
      <c r="H93" s="25">
        <v>0</v>
      </c>
      <c r="I93" s="2"/>
      <c r="J93" s="26"/>
      <c r="K93" s="27">
        <f t="shared" si="3"/>
        <v>0</v>
      </c>
      <c r="L93" s="27"/>
      <c r="M93" s="27"/>
      <c r="N93" s="2"/>
      <c r="O93" s="27">
        <f t="shared" si="4"/>
        <v>0</v>
      </c>
      <c r="P93" s="27"/>
      <c r="Q93" s="27"/>
      <c r="R93" s="20"/>
    </row>
    <row r="94" spans="1:38" ht="15" customHeight="1">
      <c r="A94" s="24">
        <v>47</v>
      </c>
      <c r="B94" s="23" t="s">
        <v>127</v>
      </c>
      <c r="C94" s="24" t="s">
        <v>18</v>
      </c>
      <c r="D94" s="23"/>
      <c r="E94" s="23" t="s">
        <v>41</v>
      </c>
      <c r="F94" s="23" t="s">
        <v>412</v>
      </c>
      <c r="G94" s="23" t="s">
        <v>142</v>
      </c>
      <c r="H94" s="25">
        <v>25</v>
      </c>
      <c r="I94" s="2">
        <v>9</v>
      </c>
      <c r="J94" s="26">
        <v>10</v>
      </c>
      <c r="K94" s="27">
        <f t="shared" si="3"/>
        <v>17475.57</v>
      </c>
      <c r="L94" s="27">
        <f>10325.33+7150.24</f>
        <v>17475.57</v>
      </c>
      <c r="M94" s="27"/>
      <c r="N94" s="2">
        <v>9</v>
      </c>
      <c r="O94" s="27">
        <f t="shared" si="4"/>
        <v>16006.150000000001</v>
      </c>
      <c r="P94" s="27">
        <f>14029.19+1976.96</f>
        <v>16006.150000000001</v>
      </c>
      <c r="Q94" s="27"/>
      <c r="R94" s="20"/>
    </row>
    <row r="95" spans="1:38" s="28" customFormat="1" ht="15" customHeight="1">
      <c r="A95" s="24"/>
      <c r="B95" s="23" t="s">
        <v>127</v>
      </c>
      <c r="C95" s="24" t="s">
        <v>18</v>
      </c>
      <c r="D95" s="23"/>
      <c r="E95" s="23" t="s">
        <v>50</v>
      </c>
      <c r="F95" s="23" t="s">
        <v>364</v>
      </c>
      <c r="G95" s="23" t="s">
        <v>136</v>
      </c>
      <c r="H95" s="25">
        <v>8</v>
      </c>
      <c r="I95" s="2">
        <v>7</v>
      </c>
      <c r="J95" s="26">
        <v>7</v>
      </c>
      <c r="K95" s="27">
        <f t="shared" si="3"/>
        <v>6238.1</v>
      </c>
      <c r="L95" s="27">
        <v>6238.1</v>
      </c>
      <c r="M95" s="27"/>
      <c r="N95" s="2">
        <v>21</v>
      </c>
      <c r="O95" s="27">
        <f t="shared" si="4"/>
        <v>29345.71</v>
      </c>
      <c r="P95" s="27">
        <v>29345.71</v>
      </c>
      <c r="Q95" s="27"/>
      <c r="R95" s="20"/>
    </row>
    <row r="96" spans="1:38" s="28" customFormat="1" ht="15" customHeight="1">
      <c r="A96" s="24"/>
      <c r="B96" s="23" t="s">
        <v>127</v>
      </c>
      <c r="C96" s="24" t="s">
        <v>18</v>
      </c>
      <c r="D96" s="23"/>
      <c r="E96" s="23" t="s">
        <v>50</v>
      </c>
      <c r="F96" s="23" t="s">
        <v>375</v>
      </c>
      <c r="G96" s="23" t="s">
        <v>124</v>
      </c>
      <c r="H96" s="25">
        <v>1</v>
      </c>
      <c r="I96" s="2">
        <v>1</v>
      </c>
      <c r="J96" s="26">
        <v>1</v>
      </c>
      <c r="K96" s="27">
        <f t="shared" si="3"/>
        <v>1288.7</v>
      </c>
      <c r="L96" s="27">
        <v>1288.7</v>
      </c>
      <c r="M96" s="27"/>
      <c r="N96" s="2">
        <v>3</v>
      </c>
      <c r="O96" s="27">
        <f t="shared" si="4"/>
        <v>616.70000000000005</v>
      </c>
      <c r="P96" s="27">
        <v>616.70000000000005</v>
      </c>
      <c r="Q96" s="27"/>
      <c r="R96" s="20"/>
    </row>
    <row r="97" spans="1:38" s="7" customFormat="1" ht="15" customHeight="1">
      <c r="A97" s="74">
        <v>48</v>
      </c>
      <c r="B97" s="77" t="s">
        <v>69</v>
      </c>
      <c r="C97" s="74" t="s">
        <v>18</v>
      </c>
      <c r="D97" s="77"/>
      <c r="E97" s="77" t="s">
        <v>19</v>
      </c>
      <c r="F97" s="77" t="s">
        <v>292</v>
      </c>
      <c r="G97" s="77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.75" customHeight="1">
      <c r="A98" s="74">
        <v>49</v>
      </c>
      <c r="B98" s="77" t="s">
        <v>70</v>
      </c>
      <c r="C98" s="74" t="s">
        <v>18</v>
      </c>
      <c r="D98" s="77"/>
      <c r="E98" s="77" t="s">
        <v>19</v>
      </c>
      <c r="F98" s="77" t="s">
        <v>413</v>
      </c>
      <c r="G98" s="77" t="s">
        <v>142</v>
      </c>
      <c r="H98" s="25">
        <v>18</v>
      </c>
      <c r="I98" s="1">
        <v>14</v>
      </c>
      <c r="J98" s="26">
        <v>16</v>
      </c>
      <c r="K98" s="27">
        <f t="shared" si="3"/>
        <v>27955.62</v>
      </c>
      <c r="L98" s="27">
        <f>2262.4+4502.35+18418.92+2771.95</f>
        <v>27955.62</v>
      </c>
      <c r="M98" s="27"/>
      <c r="N98" s="1">
        <v>8</v>
      </c>
      <c r="O98" s="27">
        <f t="shared" si="4"/>
        <v>23489.77</v>
      </c>
      <c r="P98" s="27">
        <v>23489.77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ht="15" customHeight="1">
      <c r="A99" s="74">
        <v>50</v>
      </c>
      <c r="B99" s="77" t="s">
        <v>71</v>
      </c>
      <c r="C99" s="74" t="s">
        <v>18</v>
      </c>
      <c r="D99" s="77"/>
      <c r="E99" s="77" t="s">
        <v>32</v>
      </c>
      <c r="F99" s="77" t="s">
        <v>292</v>
      </c>
      <c r="G99" s="77" t="s">
        <v>121</v>
      </c>
      <c r="H99" s="25">
        <v>0</v>
      </c>
      <c r="I99" s="1"/>
      <c r="J99" s="26"/>
      <c r="K99" s="27">
        <f t="shared" si="3"/>
        <v>0</v>
      </c>
      <c r="L99" s="27"/>
      <c r="M99" s="27"/>
      <c r="N99" s="1">
        <v>3</v>
      </c>
      <c r="O99" s="27">
        <f t="shared" si="4"/>
        <v>16621.13</v>
      </c>
      <c r="P99" s="27">
        <f>10878.95+5742.18</f>
        <v>16621.13</v>
      </c>
      <c r="Q99" s="27"/>
      <c r="R99" s="20"/>
    </row>
    <row r="100" spans="1:38" s="28" customFormat="1" ht="15" customHeight="1">
      <c r="A100" s="24"/>
      <c r="B100" s="23" t="s">
        <v>71</v>
      </c>
      <c r="C100" s="24" t="s">
        <v>18</v>
      </c>
      <c r="D100" s="23"/>
      <c r="E100" s="23" t="s">
        <v>32</v>
      </c>
      <c r="F100" s="23" t="s">
        <v>292</v>
      </c>
      <c r="G100" s="23" t="s">
        <v>122</v>
      </c>
      <c r="H100" s="25">
        <v>0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</row>
    <row r="101" spans="1:38" ht="15" customHeight="1">
      <c r="A101" s="24">
        <v>51</v>
      </c>
      <c r="B101" s="23" t="s">
        <v>72</v>
      </c>
      <c r="C101" s="24" t="s">
        <v>18</v>
      </c>
      <c r="D101" s="23"/>
      <c r="E101" s="23" t="s">
        <v>19</v>
      </c>
      <c r="F101" s="23" t="s">
        <v>268</v>
      </c>
      <c r="G101" s="23" t="s">
        <v>142</v>
      </c>
      <c r="H101" s="25">
        <v>0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</row>
    <row r="102" spans="1:38" s="28" customFormat="1" ht="15" customHeight="1">
      <c r="A102" s="24"/>
      <c r="B102" s="23" t="s">
        <v>72</v>
      </c>
      <c r="C102" s="24" t="s">
        <v>18</v>
      </c>
      <c r="D102" s="23"/>
      <c r="E102" s="23" t="s">
        <v>19</v>
      </c>
      <c r="F102" s="23" t="s">
        <v>292</v>
      </c>
      <c r="G102" s="23" t="s">
        <v>122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/>
      <c r="O102" s="27">
        <f t="shared" si="4"/>
        <v>0</v>
      </c>
      <c r="P102" s="27"/>
      <c r="Q102" s="27"/>
      <c r="R102" s="20"/>
    </row>
    <row r="103" spans="1:38" ht="15" customHeight="1">
      <c r="A103" s="24">
        <v>52</v>
      </c>
      <c r="B103" s="23" t="s">
        <v>73</v>
      </c>
      <c r="C103" s="24" t="s">
        <v>18</v>
      </c>
      <c r="D103" s="23"/>
      <c r="E103" s="23" t="s">
        <v>19</v>
      </c>
      <c r="F103" s="23"/>
      <c r="G103" s="23" t="s">
        <v>142</v>
      </c>
      <c r="H103" s="25">
        <v>6</v>
      </c>
      <c r="I103" s="1"/>
      <c r="J103" s="26"/>
      <c r="K103" s="27">
        <f t="shared" si="3"/>
        <v>0</v>
      </c>
      <c r="L103" s="27"/>
      <c r="M103" s="27"/>
      <c r="N103" s="1"/>
      <c r="O103" s="27">
        <f t="shared" si="4"/>
        <v>0</v>
      </c>
      <c r="P103" s="27"/>
      <c r="Q103" s="27"/>
      <c r="R103" s="20"/>
    </row>
    <row r="104" spans="1:38" s="7" customFormat="1" ht="15" customHeight="1">
      <c r="A104" s="24">
        <v>53</v>
      </c>
      <c r="B104" s="23" t="s">
        <v>74</v>
      </c>
      <c r="C104" s="24" t="s">
        <v>18</v>
      </c>
      <c r="D104" s="23"/>
      <c r="E104" s="23" t="s">
        <v>19</v>
      </c>
      <c r="F104" s="23" t="s">
        <v>414</v>
      </c>
      <c r="G104" s="23" t="s">
        <v>142</v>
      </c>
      <c r="H104" s="25">
        <v>39</v>
      </c>
      <c r="I104" s="1">
        <v>27</v>
      </c>
      <c r="J104" s="26">
        <v>28</v>
      </c>
      <c r="K104" s="27">
        <f t="shared" si="3"/>
        <v>28474.95</v>
      </c>
      <c r="L104" s="27">
        <f>11380.77+17094.18</f>
        <v>28474.95</v>
      </c>
      <c r="M104" s="27"/>
      <c r="N104" s="1">
        <v>12</v>
      </c>
      <c r="O104" s="27">
        <f t="shared" si="4"/>
        <v>45390.47</v>
      </c>
      <c r="P104" s="27">
        <v>45390.47</v>
      </c>
      <c r="Q104" s="27"/>
      <c r="R104" s="20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 spans="1:38" s="7" customFormat="1" ht="15" customHeight="1">
      <c r="A105" s="24">
        <v>54</v>
      </c>
      <c r="B105" s="23" t="s">
        <v>312</v>
      </c>
      <c r="C105" s="24" t="s">
        <v>18</v>
      </c>
      <c r="D105" s="23"/>
      <c r="E105" s="23" t="s">
        <v>19</v>
      </c>
      <c r="F105" s="23" t="s">
        <v>415</v>
      </c>
      <c r="G105" s="23" t="s">
        <v>142</v>
      </c>
      <c r="H105" s="25">
        <v>30</v>
      </c>
      <c r="I105" s="1">
        <v>25</v>
      </c>
      <c r="J105" s="26">
        <v>26</v>
      </c>
      <c r="K105" s="27">
        <f t="shared" si="3"/>
        <v>29775.909999999996</v>
      </c>
      <c r="L105" s="27">
        <f>19305.63+3508.58+668.28+6293.42</f>
        <v>29775.909999999996</v>
      </c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s="28" customFormat="1" ht="15" customHeight="1">
      <c r="A106" s="24"/>
      <c r="B106" s="23" t="s">
        <v>312</v>
      </c>
      <c r="C106" s="24" t="s">
        <v>18</v>
      </c>
      <c r="D106" s="23"/>
      <c r="E106" s="23" t="s">
        <v>304</v>
      </c>
      <c r="F106" s="23" t="s">
        <v>339</v>
      </c>
      <c r="G106" s="23" t="s">
        <v>131</v>
      </c>
      <c r="H106" s="25">
        <v>14</v>
      </c>
      <c r="I106" s="1">
        <v>8</v>
      </c>
      <c r="J106" s="26">
        <v>8</v>
      </c>
      <c r="K106" s="27">
        <f t="shared" si="3"/>
        <v>7684.8</v>
      </c>
      <c r="L106" s="27">
        <v>7684.8</v>
      </c>
      <c r="M106" s="27"/>
      <c r="N106" s="1"/>
      <c r="O106" s="27">
        <f t="shared" si="4"/>
        <v>0</v>
      </c>
      <c r="Q106" s="27"/>
      <c r="R106" s="20"/>
    </row>
    <row r="107" spans="1:38" s="28" customFormat="1" ht="15" customHeight="1">
      <c r="A107" s="24"/>
      <c r="B107" s="23" t="s">
        <v>312</v>
      </c>
      <c r="C107" s="24" t="s">
        <v>18</v>
      </c>
      <c r="D107" s="23"/>
      <c r="E107" s="23" t="s">
        <v>41</v>
      </c>
      <c r="F107" s="23" t="s">
        <v>467</v>
      </c>
      <c r="G107" s="23" t="s">
        <v>136</v>
      </c>
      <c r="H107" s="25">
        <v>33</v>
      </c>
      <c r="I107" s="1">
        <v>23</v>
      </c>
      <c r="J107" s="26">
        <v>23</v>
      </c>
      <c r="K107" s="27">
        <f t="shared" si="3"/>
        <v>43495.06</v>
      </c>
      <c r="L107" s="27">
        <v>43495.06</v>
      </c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55</v>
      </c>
      <c r="B108" s="23" t="s">
        <v>75</v>
      </c>
      <c r="C108" s="24" t="s">
        <v>18</v>
      </c>
      <c r="D108" s="23"/>
      <c r="E108" s="23" t="s">
        <v>19</v>
      </c>
      <c r="F108" s="23" t="s">
        <v>416</v>
      </c>
      <c r="G108" s="23" t="s">
        <v>142</v>
      </c>
      <c r="H108" s="25">
        <v>27</v>
      </c>
      <c r="I108" s="1">
        <v>22</v>
      </c>
      <c r="J108" s="26">
        <v>29</v>
      </c>
      <c r="K108" s="27">
        <f t="shared" si="3"/>
        <v>26547.97</v>
      </c>
      <c r="L108" s="27">
        <f>20898.5+2168.13+3481.34</f>
        <v>26547.97</v>
      </c>
      <c r="M108" s="27"/>
      <c r="N108" s="1">
        <v>29</v>
      </c>
      <c r="O108" s="27">
        <f t="shared" si="4"/>
        <v>132494.67000000001</v>
      </c>
      <c r="P108" s="27">
        <f>98217.49+1416.65+9719.87+1373.63+1472.8+3802.52+1831.5+2036.66+12623.55</f>
        <v>132494.67000000001</v>
      </c>
      <c r="Q108" s="27"/>
      <c r="R108" s="20"/>
    </row>
    <row r="109" spans="1:38" s="28" customFormat="1" ht="13.15" customHeight="1">
      <c r="A109" s="24"/>
      <c r="B109" s="23" t="s">
        <v>75</v>
      </c>
      <c r="C109" s="24" t="s">
        <v>18</v>
      </c>
      <c r="D109" s="23"/>
      <c r="E109" s="23" t="s">
        <v>76</v>
      </c>
      <c r="F109" s="23" t="s">
        <v>335</v>
      </c>
      <c r="G109" s="23" t="s">
        <v>131</v>
      </c>
      <c r="H109" s="25">
        <v>46</v>
      </c>
      <c r="I109" s="1">
        <v>19</v>
      </c>
      <c r="J109" s="26">
        <v>19</v>
      </c>
      <c r="K109" s="27">
        <f t="shared" si="3"/>
        <v>50197.1</v>
      </c>
      <c r="L109" s="27">
        <v>50197.1</v>
      </c>
      <c r="M109" s="27"/>
      <c r="N109" s="1">
        <v>23</v>
      </c>
      <c r="O109" s="27">
        <f t="shared" si="4"/>
        <v>45812.2</v>
      </c>
      <c r="P109" s="27">
        <v>45812.2</v>
      </c>
      <c r="Q109" s="27"/>
      <c r="R109" s="20"/>
    </row>
    <row r="110" spans="1:38" s="28" customFormat="1" ht="15" customHeight="1">
      <c r="A110" s="24"/>
      <c r="B110" s="23" t="s">
        <v>140</v>
      </c>
      <c r="C110" s="24" t="s">
        <v>18</v>
      </c>
      <c r="D110" s="23"/>
      <c r="E110" s="23" t="s">
        <v>76</v>
      </c>
      <c r="F110" s="23" t="s">
        <v>377</v>
      </c>
      <c r="G110" s="23" t="s">
        <v>136</v>
      </c>
      <c r="H110" s="25">
        <v>54</v>
      </c>
      <c r="I110" s="2">
        <v>32</v>
      </c>
      <c r="J110" s="26">
        <v>32</v>
      </c>
      <c r="K110" s="27">
        <f t="shared" si="3"/>
        <v>35249.67</v>
      </c>
      <c r="L110" s="27">
        <v>35249.67</v>
      </c>
      <c r="M110" s="27"/>
      <c r="N110" s="2">
        <v>35</v>
      </c>
      <c r="O110" s="27">
        <f t="shared" si="4"/>
        <v>121253.99</v>
      </c>
      <c r="P110" s="35">
        <v>121253.99</v>
      </c>
      <c r="Q110" s="27"/>
      <c r="R110" s="20"/>
    </row>
    <row r="111" spans="1:38" s="17" customFormat="1" ht="15" customHeight="1">
      <c r="A111" s="24">
        <v>56</v>
      </c>
      <c r="B111" s="23" t="s">
        <v>267</v>
      </c>
      <c r="C111" s="24" t="s">
        <v>18</v>
      </c>
      <c r="D111" s="23"/>
      <c r="E111" s="23" t="s">
        <v>19</v>
      </c>
      <c r="F111" s="23" t="s">
        <v>268</v>
      </c>
      <c r="G111" s="23" t="s">
        <v>142</v>
      </c>
      <c r="H111" s="25">
        <v>0</v>
      </c>
      <c r="I111" s="2"/>
      <c r="J111" s="26"/>
      <c r="K111" s="27">
        <f t="shared" si="3"/>
        <v>0</v>
      </c>
      <c r="L111" s="27"/>
      <c r="M111" s="27"/>
      <c r="N111" s="2"/>
      <c r="O111" s="27">
        <f t="shared" si="4"/>
        <v>0</v>
      </c>
      <c r="P111" s="27"/>
      <c r="Q111" s="27"/>
      <c r="R111" s="20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:38" s="28" customFormat="1" ht="15" customHeight="1">
      <c r="A112" s="24"/>
      <c r="B112" s="23" t="s">
        <v>267</v>
      </c>
      <c r="C112" s="24" t="s">
        <v>18</v>
      </c>
      <c r="D112" s="23"/>
      <c r="E112" s="23" t="s">
        <v>19</v>
      </c>
      <c r="F112" s="23" t="s">
        <v>336</v>
      </c>
      <c r="G112" s="23" t="s">
        <v>131</v>
      </c>
      <c r="H112" s="25">
        <v>14</v>
      </c>
      <c r="I112" s="2">
        <v>5</v>
      </c>
      <c r="J112" s="26">
        <v>5</v>
      </c>
      <c r="K112" s="27">
        <f t="shared" si="3"/>
        <v>0</v>
      </c>
      <c r="L112" s="27"/>
      <c r="M112" s="27"/>
      <c r="N112" s="2">
        <v>8</v>
      </c>
      <c r="O112" s="27">
        <f t="shared" si="4"/>
        <v>32689</v>
      </c>
      <c r="P112" s="27">
        <v>32689</v>
      </c>
      <c r="Q112" s="27"/>
      <c r="R112" s="20"/>
    </row>
    <row r="113" spans="1:38" s="28" customFormat="1" ht="15" customHeight="1">
      <c r="A113" s="24"/>
      <c r="B113" s="23" t="s">
        <v>267</v>
      </c>
      <c r="C113" s="24" t="s">
        <v>18</v>
      </c>
      <c r="D113" s="23"/>
      <c r="E113" s="23" t="s">
        <v>19</v>
      </c>
      <c r="F113" s="23" t="s">
        <v>455</v>
      </c>
      <c r="G113" s="23" t="s">
        <v>122</v>
      </c>
      <c r="H113" s="25">
        <v>16</v>
      </c>
      <c r="I113" s="2">
        <v>7</v>
      </c>
      <c r="J113" s="26">
        <v>7</v>
      </c>
      <c r="K113" s="27">
        <f t="shared" si="3"/>
        <v>11863.8</v>
      </c>
      <c r="L113" s="27">
        <v>11863.8</v>
      </c>
      <c r="M113" s="27"/>
      <c r="N113" s="2">
        <v>4</v>
      </c>
      <c r="O113" s="27">
        <f t="shared" si="4"/>
        <v>9834.4</v>
      </c>
      <c r="P113" s="27">
        <v>9834.4</v>
      </c>
      <c r="Q113" s="27"/>
      <c r="R113" s="20"/>
    </row>
    <row r="114" spans="1:38" ht="15" customHeight="1">
      <c r="A114" s="24">
        <v>57</v>
      </c>
      <c r="B114" s="23" t="s">
        <v>306</v>
      </c>
      <c r="C114" s="24" t="s">
        <v>30</v>
      </c>
      <c r="D114" s="23" t="s">
        <v>334</v>
      </c>
      <c r="E114" s="23" t="s">
        <v>104</v>
      </c>
      <c r="F114" s="23" t="s">
        <v>417</v>
      </c>
      <c r="G114" s="23" t="s">
        <v>142</v>
      </c>
      <c r="H114" s="25">
        <v>51</v>
      </c>
      <c r="I114" s="2">
        <v>34</v>
      </c>
      <c r="J114" s="26">
        <v>40</v>
      </c>
      <c r="K114" s="27">
        <f t="shared" si="3"/>
        <v>45364.479999999996</v>
      </c>
      <c r="L114" s="27">
        <f>28848.63+2012.58+14503.27</f>
        <v>45364.479999999996</v>
      </c>
      <c r="M114" s="27"/>
      <c r="N114" s="2"/>
      <c r="O114" s="27">
        <f t="shared" si="4"/>
        <v>0</v>
      </c>
      <c r="P114" s="27"/>
      <c r="Q114" s="27"/>
      <c r="R114" s="20"/>
    </row>
    <row r="115" spans="1:38" s="28" customFormat="1" ht="15" customHeight="1">
      <c r="A115" s="24"/>
      <c r="B115" s="23" t="s">
        <v>306</v>
      </c>
      <c r="C115" s="24" t="s">
        <v>30</v>
      </c>
      <c r="D115" s="23" t="s">
        <v>334</v>
      </c>
      <c r="E115" s="23" t="s">
        <v>104</v>
      </c>
      <c r="F115" s="23" t="s">
        <v>340</v>
      </c>
      <c r="G115" s="23" t="s">
        <v>131</v>
      </c>
      <c r="H115" s="25">
        <v>27</v>
      </c>
      <c r="I115" s="2">
        <v>10</v>
      </c>
      <c r="J115" s="26">
        <v>10</v>
      </c>
      <c r="K115" s="27">
        <f t="shared" si="3"/>
        <v>10849.55</v>
      </c>
      <c r="L115" s="27">
        <v>10849.55</v>
      </c>
      <c r="M115" s="27"/>
      <c r="N115" s="2"/>
      <c r="O115" s="27">
        <f t="shared" si="4"/>
        <v>0</v>
      </c>
      <c r="P115" s="27"/>
      <c r="Q115" s="27"/>
      <c r="R115" s="20"/>
    </row>
    <row r="116" spans="1:38" s="28" customFormat="1" ht="15" customHeight="1">
      <c r="A116" s="24"/>
      <c r="B116" s="23" t="s">
        <v>306</v>
      </c>
      <c r="C116" s="24" t="s">
        <v>30</v>
      </c>
      <c r="D116" s="23" t="s">
        <v>307</v>
      </c>
      <c r="E116" s="23" t="s">
        <v>19</v>
      </c>
      <c r="F116" s="23" t="s">
        <v>350</v>
      </c>
      <c r="G116" s="23" t="s">
        <v>122</v>
      </c>
      <c r="H116" s="25">
        <v>23</v>
      </c>
      <c r="I116" s="2">
        <v>14</v>
      </c>
      <c r="J116" s="26">
        <v>14</v>
      </c>
      <c r="K116" s="27">
        <f t="shared" si="3"/>
        <v>21586.5</v>
      </c>
      <c r="L116" s="27">
        <v>21586.5</v>
      </c>
      <c r="M116" s="27"/>
      <c r="N116" s="2"/>
      <c r="O116" s="27">
        <f t="shared" si="4"/>
        <v>0</v>
      </c>
      <c r="P116" s="27"/>
      <c r="Q116" s="27"/>
      <c r="R116" s="20"/>
    </row>
    <row r="117" spans="1:38" ht="30.75" customHeight="1">
      <c r="A117" s="24">
        <v>58</v>
      </c>
      <c r="B117" s="23" t="s">
        <v>78</v>
      </c>
      <c r="C117" s="24" t="s">
        <v>18</v>
      </c>
      <c r="D117" s="23" t="s">
        <v>276</v>
      </c>
      <c r="E117" s="23" t="s">
        <v>19</v>
      </c>
      <c r="F117" s="23" t="s">
        <v>418</v>
      </c>
      <c r="G117" s="23" t="s">
        <v>142</v>
      </c>
      <c r="H117" s="25">
        <v>43</v>
      </c>
      <c r="I117" s="1">
        <v>36</v>
      </c>
      <c r="J117" s="26">
        <v>40</v>
      </c>
      <c r="K117" s="27">
        <f t="shared" si="3"/>
        <v>42958.59</v>
      </c>
      <c r="L117" s="27">
        <f>26169.39+3466.71+13322.49</f>
        <v>42958.59</v>
      </c>
      <c r="M117" s="27"/>
      <c r="N117" s="1">
        <v>12</v>
      </c>
      <c r="O117" s="27">
        <f t="shared" si="4"/>
        <v>54782.65</v>
      </c>
      <c r="P117" s="27">
        <f>40874.75+8282.32+1813.22+3812.36</f>
        <v>54782.65</v>
      </c>
      <c r="Q117" s="27"/>
      <c r="R117" s="20"/>
    </row>
    <row r="118" spans="1:38" s="28" customFormat="1" ht="15" customHeight="1">
      <c r="A118" s="24"/>
      <c r="B118" s="23" t="s">
        <v>78</v>
      </c>
      <c r="C118" s="24" t="s">
        <v>18</v>
      </c>
      <c r="D118" s="23"/>
      <c r="E118" s="23" t="s">
        <v>19</v>
      </c>
      <c r="F118" s="23" t="s">
        <v>120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s="28" customFormat="1" ht="15" customHeight="1">
      <c r="A119" s="24"/>
      <c r="B119" s="23" t="s">
        <v>78</v>
      </c>
      <c r="C119" s="24" t="s">
        <v>18</v>
      </c>
      <c r="D119" s="23"/>
      <c r="E119" s="23" t="s">
        <v>19</v>
      </c>
      <c r="F119" s="23" t="s">
        <v>120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</row>
    <row r="120" spans="1:38" ht="15" customHeight="1">
      <c r="A120" s="24">
        <v>59</v>
      </c>
      <c r="B120" s="23" t="s">
        <v>79</v>
      </c>
      <c r="C120" s="24" t="s">
        <v>18</v>
      </c>
      <c r="D120" s="23"/>
      <c r="E120" s="23" t="s">
        <v>19</v>
      </c>
      <c r="F120" s="23"/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/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80</v>
      </c>
      <c r="C121" s="24" t="s">
        <v>18</v>
      </c>
      <c r="D121" s="23"/>
      <c r="E121" s="23" t="s">
        <v>19</v>
      </c>
      <c r="F121" s="23" t="s">
        <v>419</v>
      </c>
      <c r="G121" s="23" t="s">
        <v>142</v>
      </c>
      <c r="H121" s="25">
        <v>41</v>
      </c>
      <c r="I121" s="1">
        <v>29</v>
      </c>
      <c r="J121" s="26">
        <v>34</v>
      </c>
      <c r="K121" s="27">
        <f t="shared" si="3"/>
        <v>34213.17</v>
      </c>
      <c r="L121" s="27">
        <f>23252.01+1197.18+2019.81+7744.17</f>
        <v>34213.17</v>
      </c>
      <c r="M121" s="27"/>
      <c r="N121" s="1">
        <v>16</v>
      </c>
      <c r="O121" s="27">
        <f t="shared" si="4"/>
        <v>63565.100000000006</v>
      </c>
      <c r="P121" s="27">
        <f>40384.42+1347.93+1919.19+19913.56</f>
        <v>63565.100000000006</v>
      </c>
      <c r="Q121" s="27"/>
      <c r="R121" s="20"/>
    </row>
    <row r="122" spans="1:38" s="28" customFormat="1" ht="15" customHeight="1">
      <c r="A122" s="24"/>
      <c r="B122" s="23" t="s">
        <v>80</v>
      </c>
      <c r="C122" s="24" t="s">
        <v>18</v>
      </c>
      <c r="D122" s="23"/>
      <c r="E122" s="23" t="s">
        <v>19</v>
      </c>
      <c r="F122" s="23" t="s">
        <v>120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372</v>
      </c>
      <c r="C123" s="24" t="s">
        <v>18</v>
      </c>
      <c r="D123" s="23"/>
      <c r="E123" s="23" t="s">
        <v>19</v>
      </c>
      <c r="F123" s="23" t="s">
        <v>420</v>
      </c>
      <c r="G123" s="23" t="s">
        <v>142</v>
      </c>
      <c r="H123" s="25">
        <v>41</v>
      </c>
      <c r="I123" s="1">
        <v>25</v>
      </c>
      <c r="J123" s="26">
        <v>27</v>
      </c>
      <c r="K123" s="27">
        <f t="shared" si="3"/>
        <v>21123.360000000001</v>
      </c>
      <c r="L123" s="27">
        <f>9765.89+2901.75+8455.72</f>
        <v>21123.360000000001</v>
      </c>
      <c r="M123" s="27"/>
      <c r="N123" s="1"/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28" customFormat="1" ht="15" customHeight="1">
      <c r="A124" s="24">
        <v>62</v>
      </c>
      <c r="B124" s="23" t="s">
        <v>313</v>
      </c>
      <c r="C124" s="24" t="s">
        <v>18</v>
      </c>
      <c r="D124" s="23"/>
      <c r="E124" s="23"/>
      <c r="F124" s="23" t="s">
        <v>342</v>
      </c>
      <c r="G124" s="23" t="s">
        <v>131</v>
      </c>
      <c r="H124" s="25">
        <v>1</v>
      </c>
      <c r="I124" s="1"/>
      <c r="J124" s="26"/>
      <c r="K124" s="27">
        <f t="shared" si="3"/>
        <v>0</v>
      </c>
      <c r="L124" s="27"/>
      <c r="M124" s="27"/>
      <c r="N124" s="1"/>
      <c r="O124" s="27">
        <f t="shared" si="4"/>
        <v>0</v>
      </c>
      <c r="P124" s="27"/>
      <c r="Q124" s="27"/>
      <c r="R124" s="20"/>
    </row>
    <row r="125" spans="1:38" s="28" customFormat="1" ht="15" customHeight="1">
      <c r="A125" s="24"/>
      <c r="B125" s="23" t="s">
        <v>313</v>
      </c>
      <c r="C125" s="24" t="s">
        <v>18</v>
      </c>
      <c r="D125" s="23"/>
      <c r="E125" s="23" t="s">
        <v>41</v>
      </c>
      <c r="F125" s="23" t="s">
        <v>366</v>
      </c>
      <c r="G125" s="23" t="s">
        <v>136</v>
      </c>
      <c r="H125" s="25">
        <v>35</v>
      </c>
      <c r="I125" s="1">
        <v>15</v>
      </c>
      <c r="J125" s="26">
        <v>15</v>
      </c>
      <c r="K125" s="27">
        <f t="shared" si="3"/>
        <v>32498.55</v>
      </c>
      <c r="L125" s="27">
        <v>32498.55</v>
      </c>
      <c r="M125" s="27"/>
      <c r="N125" s="1"/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>
        <v>63</v>
      </c>
      <c r="B126" s="23" t="s">
        <v>373</v>
      </c>
      <c r="C126" s="24" t="s">
        <v>52</v>
      </c>
      <c r="D126" s="23" t="s">
        <v>378</v>
      </c>
      <c r="E126" s="23" t="s">
        <v>104</v>
      </c>
      <c r="F126" s="23" t="s">
        <v>422</v>
      </c>
      <c r="G126" s="23" t="s">
        <v>142</v>
      </c>
      <c r="H126" s="25">
        <v>12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64</v>
      </c>
      <c r="B127" s="23" t="s">
        <v>81</v>
      </c>
      <c r="C127" s="24" t="s">
        <v>18</v>
      </c>
      <c r="D127" s="23"/>
      <c r="E127" s="23" t="s">
        <v>19</v>
      </c>
      <c r="F127" s="23" t="s">
        <v>421</v>
      </c>
      <c r="G127" s="23" t="s">
        <v>142</v>
      </c>
      <c r="H127" s="25">
        <v>25</v>
      </c>
      <c r="I127" s="1">
        <v>11</v>
      </c>
      <c r="J127" s="26">
        <v>11</v>
      </c>
      <c r="K127" s="27">
        <f t="shared" si="3"/>
        <v>7398.4</v>
      </c>
      <c r="L127" s="27">
        <f>1899.08+4104.76+1394.56</f>
        <v>7398.4</v>
      </c>
      <c r="M127" s="27"/>
      <c r="N127" s="1">
        <v>6</v>
      </c>
      <c r="O127" s="27">
        <f t="shared" si="4"/>
        <v>23638.28</v>
      </c>
      <c r="P127" s="27">
        <v>23638.28</v>
      </c>
      <c r="Q127" s="27"/>
      <c r="R127" s="20"/>
    </row>
    <row r="128" spans="1:38" s="28" customFormat="1" ht="15" customHeight="1">
      <c r="A128" s="24"/>
      <c r="B128" s="23" t="s">
        <v>81</v>
      </c>
      <c r="C128" s="24" t="s">
        <v>18</v>
      </c>
      <c r="D128" s="23"/>
      <c r="E128" s="23" t="s">
        <v>19</v>
      </c>
      <c r="F128" s="23" t="s">
        <v>453</v>
      </c>
      <c r="G128" s="23" t="s">
        <v>122</v>
      </c>
      <c r="H128" s="25">
        <v>8</v>
      </c>
      <c r="I128" s="1">
        <v>1</v>
      </c>
      <c r="J128" s="26">
        <v>1</v>
      </c>
      <c r="K128" s="27">
        <f t="shared" si="3"/>
        <v>2393.3000000000002</v>
      </c>
      <c r="L128" s="27">
        <v>2393.3000000000002</v>
      </c>
      <c r="M128" s="27"/>
      <c r="N128" s="1">
        <v>1</v>
      </c>
      <c r="O128" s="27">
        <f t="shared" si="4"/>
        <v>1850.1</v>
      </c>
      <c r="P128" s="27">
        <v>1850.1</v>
      </c>
      <c r="Q128" s="27"/>
      <c r="R128" s="20"/>
    </row>
    <row r="129" spans="1:38" s="7" customFormat="1" ht="15" customHeight="1">
      <c r="A129" s="24">
        <v>65</v>
      </c>
      <c r="B129" s="23" t="s">
        <v>82</v>
      </c>
      <c r="C129" s="24" t="s">
        <v>18</v>
      </c>
      <c r="D129" s="23"/>
      <c r="E129" s="23" t="s">
        <v>19</v>
      </c>
      <c r="F129" s="23" t="s">
        <v>423</v>
      </c>
      <c r="G129" s="23" t="s">
        <v>142</v>
      </c>
      <c r="H129" s="25">
        <v>38</v>
      </c>
      <c r="I129" s="1">
        <v>31</v>
      </c>
      <c r="J129" s="26">
        <v>32</v>
      </c>
      <c r="K129" s="27">
        <f t="shared" si="3"/>
        <v>22582.82</v>
      </c>
      <c r="L129" s="27">
        <f>14700.02+4183.12+3699.68</f>
        <v>22582.82</v>
      </c>
      <c r="M129" s="27"/>
      <c r="N129" s="1">
        <v>12</v>
      </c>
      <c r="O129" s="27">
        <f t="shared" si="4"/>
        <v>68966.600000000006</v>
      </c>
      <c r="P129" s="27">
        <f>57464.03+11502.57</f>
        <v>68966.600000000006</v>
      </c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s="28" customFormat="1" ht="15" customHeight="1">
      <c r="A130" s="24"/>
      <c r="B130" s="23" t="s">
        <v>82</v>
      </c>
      <c r="C130" s="24" t="s">
        <v>18</v>
      </c>
      <c r="D130" s="23"/>
      <c r="E130" s="23" t="s">
        <v>19</v>
      </c>
      <c r="F130" s="23" t="s">
        <v>481</v>
      </c>
      <c r="G130" s="23" t="s">
        <v>122</v>
      </c>
      <c r="H130" s="25">
        <v>0</v>
      </c>
      <c r="I130" s="1"/>
      <c r="J130" s="26"/>
      <c r="K130" s="27">
        <f t="shared" si="3"/>
        <v>0</v>
      </c>
      <c r="L130" s="27"/>
      <c r="M130" s="27"/>
      <c r="N130" s="1">
        <v>5</v>
      </c>
      <c r="O130" s="27">
        <f t="shared" si="4"/>
        <v>528.6</v>
      </c>
      <c r="P130" s="27">
        <v>528.6</v>
      </c>
      <c r="Q130" s="27"/>
      <c r="R130" s="20"/>
    </row>
    <row r="131" spans="1:38" ht="14.45" customHeight="1">
      <c r="A131" s="24">
        <v>66</v>
      </c>
      <c r="B131" s="23" t="s">
        <v>83</v>
      </c>
      <c r="C131" s="24" t="s">
        <v>30</v>
      </c>
      <c r="D131" s="23" t="s">
        <v>184</v>
      </c>
      <c r="E131" s="23" t="s">
        <v>19</v>
      </c>
      <c r="F131" s="23" t="s">
        <v>424</v>
      </c>
      <c r="G131" s="23" t="s">
        <v>142</v>
      </c>
      <c r="H131" s="25">
        <v>77</v>
      </c>
      <c r="I131" s="1">
        <v>67</v>
      </c>
      <c r="J131" s="26">
        <v>69</v>
      </c>
      <c r="K131" s="27">
        <f t="shared" si="3"/>
        <v>64822.77</v>
      </c>
      <c r="L131" s="27">
        <f>39337.34+7241.82+8427.08+9816.53</f>
        <v>64822.77</v>
      </c>
      <c r="M131" s="27"/>
      <c r="N131" s="1">
        <v>16</v>
      </c>
      <c r="O131" s="27">
        <f t="shared" si="4"/>
        <v>45943.189999999995</v>
      </c>
      <c r="P131" s="27">
        <f>28101.13+1617.52+312.97+12329.05+2520.03+1062.49</f>
        <v>45943.189999999995</v>
      </c>
      <c r="Q131" s="27"/>
      <c r="R131" s="20"/>
    </row>
    <row r="132" spans="1:38" s="28" customFormat="1" ht="14.45" customHeight="1">
      <c r="A132" s="24">
        <v>67</v>
      </c>
      <c r="B132" s="23" t="s">
        <v>303</v>
      </c>
      <c r="C132" s="24" t="s">
        <v>18</v>
      </c>
      <c r="D132" s="23"/>
      <c r="E132" s="23" t="s">
        <v>304</v>
      </c>
      <c r="F132" s="23" t="s">
        <v>473</v>
      </c>
      <c r="G132" s="23" t="s">
        <v>131</v>
      </c>
      <c r="H132" s="25">
        <v>14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68</v>
      </c>
      <c r="B133" s="23" t="s">
        <v>84</v>
      </c>
      <c r="C133" s="24" t="s">
        <v>18</v>
      </c>
      <c r="D133" s="23"/>
      <c r="E133" s="23" t="s">
        <v>19</v>
      </c>
      <c r="F133" s="23" t="s">
        <v>425</v>
      </c>
      <c r="G133" s="23" t="s">
        <v>142</v>
      </c>
      <c r="H133" s="25">
        <v>33</v>
      </c>
      <c r="I133" s="1">
        <v>23</v>
      </c>
      <c r="J133" s="26">
        <v>26</v>
      </c>
      <c r="K133" s="27">
        <f t="shared" si="3"/>
        <v>40540.71</v>
      </c>
      <c r="L133" s="27">
        <f>15295.92+4938.67+12483.19+6820.51+1002.42</f>
        <v>40540.71</v>
      </c>
      <c r="M133" s="27"/>
      <c r="N133" s="1">
        <v>14</v>
      </c>
      <c r="O133" s="27">
        <f t="shared" si="4"/>
        <v>36863.08</v>
      </c>
      <c r="P133" s="27">
        <f>19788.56+1893.47+15181.05</f>
        <v>36863.08</v>
      </c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28" customFormat="1" ht="15" customHeight="1">
      <c r="A134" s="24"/>
      <c r="B134" s="23" t="s">
        <v>84</v>
      </c>
      <c r="C134" s="24" t="s">
        <v>18</v>
      </c>
      <c r="D134" s="23"/>
      <c r="E134" s="23" t="s">
        <v>19</v>
      </c>
      <c r="F134" s="37" t="s">
        <v>468</v>
      </c>
      <c r="G134" s="23" t="s">
        <v>122</v>
      </c>
      <c r="H134" s="25">
        <v>3</v>
      </c>
      <c r="I134" s="1"/>
      <c r="J134" s="26"/>
      <c r="K134" s="27">
        <f t="shared" si="3"/>
        <v>0</v>
      </c>
      <c r="L134" s="27"/>
      <c r="M134" s="27"/>
      <c r="N134" s="1">
        <v>2</v>
      </c>
      <c r="O134" s="27">
        <f t="shared" si="4"/>
        <v>1841</v>
      </c>
      <c r="P134" s="27">
        <v>1841</v>
      </c>
      <c r="Q134" s="27"/>
      <c r="R134" s="20"/>
    </row>
    <row r="135" spans="1:38" ht="15" customHeight="1">
      <c r="A135" s="24">
        <v>69</v>
      </c>
      <c r="B135" s="23" t="s">
        <v>85</v>
      </c>
      <c r="C135" s="24" t="s">
        <v>18</v>
      </c>
      <c r="D135" s="23"/>
      <c r="E135" s="23" t="s">
        <v>77</v>
      </c>
      <c r="F135" s="23" t="s">
        <v>426</v>
      </c>
      <c r="G135" s="23" t="s">
        <v>142</v>
      </c>
      <c r="H135" s="25">
        <v>42</v>
      </c>
      <c r="I135" s="1">
        <v>30</v>
      </c>
      <c r="J135" s="26">
        <v>37</v>
      </c>
      <c r="K135" s="27">
        <f t="shared" si="3"/>
        <v>40898.479999999996</v>
      </c>
      <c r="L135" s="27">
        <f>7290.74+3145.29+18063.85+12398.6</f>
        <v>40898.479999999996</v>
      </c>
      <c r="M135" s="27"/>
      <c r="N135" s="1">
        <v>29</v>
      </c>
      <c r="O135" s="27">
        <f t="shared" si="4"/>
        <v>64010.85</v>
      </c>
      <c r="P135" s="27">
        <f>35519.81+1416.65+18160.63+2998.23+1233.4+4682.13</f>
        <v>64010.85</v>
      </c>
      <c r="Q135" s="27"/>
      <c r="R135" s="20"/>
    </row>
    <row r="136" spans="1:38" s="28" customFormat="1" ht="15" customHeight="1">
      <c r="A136" s="24"/>
      <c r="B136" s="23" t="s">
        <v>85</v>
      </c>
      <c r="C136" s="24" t="s">
        <v>18</v>
      </c>
      <c r="D136" s="23"/>
      <c r="E136" s="23" t="s">
        <v>301</v>
      </c>
      <c r="F136" s="23" t="s">
        <v>337</v>
      </c>
      <c r="G136" s="23" t="s">
        <v>131</v>
      </c>
      <c r="H136" s="25">
        <v>52</v>
      </c>
      <c r="I136" s="1">
        <v>23</v>
      </c>
      <c r="J136" s="26">
        <v>23</v>
      </c>
      <c r="K136" s="27">
        <f t="shared" si="3"/>
        <v>46092.42</v>
      </c>
      <c r="L136" s="27">
        <v>46092.42</v>
      </c>
      <c r="M136" s="27"/>
      <c r="N136" s="1">
        <v>23</v>
      </c>
      <c r="O136" s="27">
        <f t="shared" si="4"/>
        <v>5330.06</v>
      </c>
      <c r="P136" s="27">
        <v>5330.06</v>
      </c>
      <c r="Q136" s="27"/>
      <c r="R136" s="20"/>
    </row>
    <row r="137" spans="1:38" ht="15" customHeight="1">
      <c r="A137" s="24">
        <v>70</v>
      </c>
      <c r="B137" s="23" t="s">
        <v>86</v>
      </c>
      <c r="C137" s="24" t="s">
        <v>18</v>
      </c>
      <c r="D137" s="23"/>
      <c r="E137" s="23" t="s">
        <v>77</v>
      </c>
      <c r="F137" s="23" t="s">
        <v>427</v>
      </c>
      <c r="G137" s="23" t="s">
        <v>142</v>
      </c>
      <c r="H137" s="25">
        <v>45</v>
      </c>
      <c r="I137" s="1">
        <v>31</v>
      </c>
      <c r="J137" s="26">
        <v>40</v>
      </c>
      <c r="K137" s="27">
        <f t="shared" si="3"/>
        <v>58661.619999999995</v>
      </c>
      <c r="L137" s="27">
        <f>17808.48+12742.73+28110.41</f>
        <v>58661.619999999995</v>
      </c>
      <c r="M137" s="27"/>
      <c r="N137" s="1">
        <v>17</v>
      </c>
      <c r="O137" s="27">
        <f t="shared" si="4"/>
        <v>58213.340000000004</v>
      </c>
      <c r="P137" s="27">
        <f>44051.35+2659.17+515.48+4602.5+5486.22+898.62</f>
        <v>58213.340000000004</v>
      </c>
      <c r="Q137" s="27"/>
      <c r="R137" s="20"/>
    </row>
    <row r="138" spans="1:38" s="28" customFormat="1" ht="15" customHeight="1">
      <c r="A138" s="24"/>
      <c r="B138" s="23" t="s">
        <v>86</v>
      </c>
      <c r="C138" s="24" t="s">
        <v>18</v>
      </c>
      <c r="D138" s="23"/>
      <c r="E138" s="23" t="s">
        <v>301</v>
      </c>
      <c r="F138" s="23" t="s">
        <v>338</v>
      </c>
      <c r="G138" s="23" t="s">
        <v>131</v>
      </c>
      <c r="H138" s="25">
        <v>11</v>
      </c>
      <c r="I138" s="1">
        <v>5</v>
      </c>
      <c r="J138" s="26">
        <v>5</v>
      </c>
      <c r="K138" s="27">
        <f t="shared" si="3"/>
        <v>2466.8000000000002</v>
      </c>
      <c r="L138" s="27">
        <v>2466.8000000000002</v>
      </c>
      <c r="M138" s="27"/>
      <c r="N138" s="1">
        <v>5</v>
      </c>
      <c r="O138" s="27">
        <f t="shared" si="4"/>
        <v>5030.51</v>
      </c>
      <c r="P138" s="27">
        <v>5030.51</v>
      </c>
      <c r="Q138" s="27"/>
      <c r="R138" s="20"/>
    </row>
    <row r="139" spans="1:38" ht="28.9" customHeight="1">
      <c r="A139" s="29">
        <v>71</v>
      </c>
      <c r="B139" s="30" t="s">
        <v>87</v>
      </c>
      <c r="C139" s="29" t="s">
        <v>52</v>
      </c>
      <c r="D139" s="30" t="s">
        <v>88</v>
      </c>
      <c r="E139" s="30" t="s">
        <v>19</v>
      </c>
      <c r="F139" s="30" t="s">
        <v>292</v>
      </c>
      <c r="G139" s="30" t="s">
        <v>142</v>
      </c>
      <c r="H139" s="25">
        <v>0</v>
      </c>
      <c r="I139" s="1"/>
      <c r="J139" s="26"/>
      <c r="K139" s="27">
        <f>L139+M139</f>
        <v>0</v>
      </c>
      <c r="L139" s="27"/>
      <c r="M139" s="27"/>
      <c r="N139" s="1">
        <v>4</v>
      </c>
      <c r="O139" s="27">
        <f t="shared" si="4"/>
        <v>8989.6500000000015</v>
      </c>
      <c r="P139" s="27">
        <f>1564.44+1165.81+2025.1+4234.3</f>
        <v>8989.6500000000015</v>
      </c>
      <c r="Q139" s="27"/>
      <c r="R139" s="20"/>
    </row>
    <row r="140" spans="1:38" s="28" customFormat="1" ht="29.25" customHeight="1">
      <c r="A140" s="29"/>
      <c r="B140" s="30" t="s">
        <v>87</v>
      </c>
      <c r="C140" s="29" t="s">
        <v>52</v>
      </c>
      <c r="D140" s="30" t="s">
        <v>88</v>
      </c>
      <c r="E140" s="30" t="s">
        <v>19</v>
      </c>
      <c r="F140" s="30" t="s">
        <v>376</v>
      </c>
      <c r="G140" s="30" t="s">
        <v>122</v>
      </c>
      <c r="H140" s="25">
        <v>43</v>
      </c>
      <c r="I140" s="1">
        <v>18</v>
      </c>
      <c r="J140" s="44">
        <v>19</v>
      </c>
      <c r="K140" s="27">
        <f t="shared" ref="K140:K206" si="5">L140+M140</f>
        <v>21269.7</v>
      </c>
      <c r="L140" s="27">
        <v>21269.7</v>
      </c>
      <c r="M140" s="27"/>
      <c r="N140" s="1">
        <v>10</v>
      </c>
      <c r="O140" s="27">
        <f t="shared" ref="O140:O205" si="6">P140+Q140</f>
        <v>19270.080000000002</v>
      </c>
      <c r="P140" s="27">
        <v>19270.080000000002</v>
      </c>
      <c r="Q140" s="27"/>
      <c r="R140" s="20"/>
    </row>
    <row r="141" spans="1:38" ht="26.25" customHeight="1">
      <c r="A141" s="24">
        <v>72</v>
      </c>
      <c r="B141" s="23" t="s">
        <v>89</v>
      </c>
      <c r="C141" s="24" t="s">
        <v>18</v>
      </c>
      <c r="D141" s="23"/>
      <c r="E141" s="23" t="s">
        <v>19</v>
      </c>
      <c r="F141" s="23" t="s">
        <v>428</v>
      </c>
      <c r="G141" s="23" t="s">
        <v>142</v>
      </c>
      <c r="H141" s="25">
        <v>33</v>
      </c>
      <c r="I141" s="1">
        <v>21</v>
      </c>
      <c r="J141" s="26">
        <v>21</v>
      </c>
      <c r="K141" s="27">
        <f>L141+M141</f>
        <v>21246.91</v>
      </c>
      <c r="L141" s="27">
        <f>8817.93+8465.25+3313.86+649.87</f>
        <v>21246.91</v>
      </c>
      <c r="M141" s="27"/>
      <c r="N141" s="1">
        <v>10</v>
      </c>
      <c r="O141" s="27">
        <f t="shared" si="6"/>
        <v>26412.81</v>
      </c>
      <c r="P141" s="27">
        <v>26412.81</v>
      </c>
      <c r="Q141" s="27"/>
      <c r="R141" s="20"/>
    </row>
    <row r="142" spans="1:38" s="28" customFormat="1" ht="15" customHeight="1">
      <c r="A142" s="24"/>
      <c r="B142" s="23" t="s">
        <v>89</v>
      </c>
      <c r="C142" s="24" t="s">
        <v>18</v>
      </c>
      <c r="D142" s="23"/>
      <c r="E142" s="23" t="s">
        <v>19</v>
      </c>
      <c r="F142" s="23" t="s">
        <v>454</v>
      </c>
      <c r="G142" s="23" t="s">
        <v>122</v>
      </c>
      <c r="H142" s="25">
        <v>23</v>
      </c>
      <c r="I142" s="1">
        <v>6</v>
      </c>
      <c r="J142" s="26">
        <v>6</v>
      </c>
      <c r="K142" s="27">
        <f t="shared" si="5"/>
        <v>3473.85</v>
      </c>
      <c r="L142" s="27">
        <v>3473.85</v>
      </c>
      <c r="M142" s="27"/>
      <c r="N142" s="1">
        <v>9</v>
      </c>
      <c r="O142" s="27">
        <f t="shared" si="6"/>
        <v>25465.29</v>
      </c>
      <c r="P142" s="36">
        <v>25465.29</v>
      </c>
      <c r="Q142" s="27"/>
      <c r="R142" s="20"/>
    </row>
    <row r="143" spans="1:38" ht="15" customHeight="1">
      <c r="A143" s="24">
        <v>73</v>
      </c>
      <c r="B143" s="23" t="s">
        <v>90</v>
      </c>
      <c r="C143" s="24" t="s">
        <v>18</v>
      </c>
      <c r="D143" s="23"/>
      <c r="E143" s="23" t="s">
        <v>19</v>
      </c>
      <c r="F143" s="23" t="s">
        <v>429</v>
      </c>
      <c r="G143" s="23" t="s">
        <v>142</v>
      </c>
      <c r="H143" s="25">
        <v>18</v>
      </c>
      <c r="I143" s="1">
        <v>15</v>
      </c>
      <c r="J143" s="26">
        <v>15</v>
      </c>
      <c r="K143" s="27">
        <f t="shared" si="5"/>
        <v>20836.29</v>
      </c>
      <c r="L143" s="27">
        <f>2471.02+2848.63+3777.77+11738.87</f>
        <v>20836.29</v>
      </c>
      <c r="M143" s="27"/>
      <c r="N143" s="1">
        <v>6</v>
      </c>
      <c r="O143" s="27">
        <f t="shared" si="6"/>
        <v>111471.6</v>
      </c>
      <c r="P143" s="27">
        <f>10093.58+4307.03+88100+8970.99</f>
        <v>111471.6</v>
      </c>
      <c r="Q143" s="27"/>
      <c r="R143" s="20"/>
    </row>
    <row r="144" spans="1:38" s="7" customFormat="1" ht="15" customHeight="1">
      <c r="A144" s="24">
        <v>74</v>
      </c>
      <c r="B144" s="23" t="s">
        <v>91</v>
      </c>
      <c r="C144" s="24" t="s">
        <v>18</v>
      </c>
      <c r="D144" s="23"/>
      <c r="E144" s="23" t="s">
        <v>92</v>
      </c>
      <c r="F144" s="23" t="s">
        <v>470</v>
      </c>
      <c r="G144" s="23" t="s">
        <v>142</v>
      </c>
      <c r="H144" s="25">
        <v>41</v>
      </c>
      <c r="I144" s="1">
        <v>30</v>
      </c>
      <c r="J144" s="26">
        <v>48</v>
      </c>
      <c r="K144" s="27">
        <f t="shared" si="5"/>
        <v>35160.979999999996</v>
      </c>
      <c r="L144" s="27">
        <f>872.19+22997.65+11291.14</f>
        <v>35160.979999999996</v>
      </c>
      <c r="M144" s="27"/>
      <c r="N144" s="1">
        <v>26</v>
      </c>
      <c r="O144" s="27">
        <f t="shared" si="6"/>
        <v>68350.55</v>
      </c>
      <c r="P144" s="27">
        <f>57313.77+516.4+5454.5+5065.88</f>
        <v>68350.55</v>
      </c>
      <c r="Q144" s="27"/>
      <c r="R144" s="20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 spans="1:18" s="28" customFormat="1" ht="15" customHeight="1">
      <c r="A145" s="24"/>
      <c r="B145" s="23" t="s">
        <v>91</v>
      </c>
      <c r="C145" s="24" t="s">
        <v>18</v>
      </c>
      <c r="D145" s="23"/>
      <c r="E145" s="23" t="s">
        <v>92</v>
      </c>
      <c r="F145" s="23" t="s">
        <v>479</v>
      </c>
      <c r="G145" s="23" t="s">
        <v>136</v>
      </c>
      <c r="H145" s="25">
        <v>2</v>
      </c>
      <c r="I145" s="2"/>
      <c r="J145" s="26"/>
      <c r="K145" s="27">
        <f t="shared" si="5"/>
        <v>0</v>
      </c>
      <c r="L145" s="27"/>
      <c r="M145" s="27"/>
      <c r="N145" s="2">
        <v>6</v>
      </c>
      <c r="O145" s="27">
        <f t="shared" si="6"/>
        <v>3538.8</v>
      </c>
      <c r="P145" s="27">
        <v>3538.8</v>
      </c>
      <c r="Q145" s="27"/>
      <c r="R145" s="20"/>
    </row>
    <row r="146" spans="1:18" ht="15" customHeight="1">
      <c r="A146" s="24">
        <v>75</v>
      </c>
      <c r="B146" s="23" t="s">
        <v>93</v>
      </c>
      <c r="C146" s="24" t="s">
        <v>18</v>
      </c>
      <c r="D146" s="23"/>
      <c r="E146" s="23" t="s">
        <v>19</v>
      </c>
      <c r="F146" s="23" t="s">
        <v>123</v>
      </c>
      <c r="G146" s="23" t="s">
        <v>142</v>
      </c>
      <c r="H146" s="25">
        <v>0</v>
      </c>
      <c r="I146" s="2"/>
      <c r="J146" s="26"/>
      <c r="K146" s="27">
        <f t="shared" si="5"/>
        <v>0</v>
      </c>
      <c r="L146" s="27"/>
      <c r="M146" s="27"/>
      <c r="N146" s="2">
        <v>1</v>
      </c>
      <c r="O146" s="27">
        <f t="shared" si="6"/>
        <v>4017.3599999999997</v>
      </c>
      <c r="P146" s="27">
        <v>4017.3599999999997</v>
      </c>
      <c r="Q146" s="27"/>
      <c r="R146" s="20"/>
    </row>
    <row r="147" spans="1:18" s="28" customFormat="1" ht="15" customHeight="1">
      <c r="A147" s="24"/>
      <c r="B147" s="23" t="s">
        <v>93</v>
      </c>
      <c r="C147" s="24" t="s">
        <v>18</v>
      </c>
      <c r="D147" s="23"/>
      <c r="E147" s="23" t="s">
        <v>19</v>
      </c>
      <c r="F147" s="23" t="s">
        <v>120</v>
      </c>
      <c r="G147" s="23" t="s">
        <v>131</v>
      </c>
      <c r="H147" s="25">
        <v>0</v>
      </c>
      <c r="I147" s="1"/>
      <c r="J147" s="26"/>
      <c r="K147" s="27">
        <f t="shared" si="5"/>
        <v>0</v>
      </c>
      <c r="L147" s="27"/>
      <c r="M147" s="27"/>
      <c r="N147" s="1">
        <v>1</v>
      </c>
      <c r="O147" s="27">
        <f t="shared" si="6"/>
        <v>1797.24</v>
      </c>
      <c r="P147" s="27">
        <v>1797.24</v>
      </c>
      <c r="Q147" s="27"/>
      <c r="R147" s="20"/>
    </row>
    <row r="148" spans="1:18" s="28" customFormat="1" ht="15" customHeight="1">
      <c r="A148" s="24"/>
      <c r="B148" s="23" t="s">
        <v>93</v>
      </c>
      <c r="C148" s="24" t="s">
        <v>18</v>
      </c>
      <c r="D148" s="23"/>
      <c r="E148" s="23"/>
      <c r="F148" s="23" t="s">
        <v>261</v>
      </c>
      <c r="G148" s="23" t="s">
        <v>122</v>
      </c>
      <c r="H148" s="25">
        <v>20</v>
      </c>
      <c r="I148" s="1">
        <v>7</v>
      </c>
      <c r="J148" s="26">
        <v>7</v>
      </c>
      <c r="K148" s="27">
        <f t="shared" si="5"/>
        <v>3682</v>
      </c>
      <c r="L148" s="27">
        <v>3682</v>
      </c>
      <c r="M148" s="27"/>
      <c r="N148" s="1">
        <v>3</v>
      </c>
      <c r="O148" s="27">
        <f t="shared" si="6"/>
        <v>8096.1</v>
      </c>
      <c r="P148" s="27">
        <v>8096.1</v>
      </c>
      <c r="Q148" s="27"/>
      <c r="R148" s="20"/>
    </row>
    <row r="149" spans="1:18" ht="15" customHeight="1">
      <c r="A149" s="24">
        <v>76</v>
      </c>
      <c r="B149" s="23" t="s">
        <v>281</v>
      </c>
      <c r="C149" s="24" t="s">
        <v>18</v>
      </c>
      <c r="D149" s="23"/>
      <c r="E149" s="23" t="s">
        <v>19</v>
      </c>
      <c r="F149" s="23" t="s">
        <v>430</v>
      </c>
      <c r="G149" s="23" t="s">
        <v>142</v>
      </c>
      <c r="H149" s="25">
        <v>25</v>
      </c>
      <c r="I149" s="1">
        <v>17</v>
      </c>
      <c r="J149" s="26">
        <v>19</v>
      </c>
      <c r="K149" s="27">
        <f t="shared" si="5"/>
        <v>17648.68</v>
      </c>
      <c r="L149" s="27">
        <f>2702.63+3967.63+3538.93+7439.49</f>
        <v>17648.68</v>
      </c>
      <c r="M149" s="27"/>
      <c r="N149" s="1">
        <v>2</v>
      </c>
      <c r="O149" s="27">
        <f t="shared" si="6"/>
        <v>2640.13</v>
      </c>
      <c r="P149" s="27">
        <v>2640.13</v>
      </c>
      <c r="Q149" s="27"/>
      <c r="R149" s="20"/>
    </row>
    <row r="150" spans="1:18" s="28" customFormat="1" ht="15" customHeight="1">
      <c r="A150" s="24"/>
      <c r="B150" s="23" t="s">
        <v>281</v>
      </c>
      <c r="C150" s="24" t="s">
        <v>18</v>
      </c>
      <c r="D150" s="23"/>
      <c r="E150" s="23" t="s">
        <v>19</v>
      </c>
      <c r="F150" s="23" t="s">
        <v>285</v>
      </c>
      <c r="G150" s="23" t="s">
        <v>131</v>
      </c>
      <c r="H150" s="25">
        <v>0</v>
      </c>
      <c r="I150" s="1"/>
      <c r="J150" s="26"/>
      <c r="K150" s="27">
        <f t="shared" si="5"/>
        <v>0</v>
      </c>
      <c r="L150" s="27"/>
      <c r="M150" s="27"/>
      <c r="N150" s="1">
        <v>1</v>
      </c>
      <c r="O150" s="27">
        <f t="shared" si="6"/>
        <v>0</v>
      </c>
      <c r="P150" s="27"/>
      <c r="Q150" s="27"/>
      <c r="R150" s="20"/>
    </row>
    <row r="151" spans="1:18" s="28" customFormat="1" ht="15" customHeight="1">
      <c r="A151" s="24"/>
      <c r="B151" s="23" t="s">
        <v>281</v>
      </c>
      <c r="C151" s="24" t="s">
        <v>18</v>
      </c>
      <c r="D151" s="23"/>
      <c r="E151" s="23" t="s">
        <v>19</v>
      </c>
      <c r="F151" s="23" t="s">
        <v>349</v>
      </c>
      <c r="G151" s="23" t="s">
        <v>122</v>
      </c>
      <c r="H151" s="25">
        <v>28</v>
      </c>
      <c r="I151" s="1">
        <v>7</v>
      </c>
      <c r="J151" s="26">
        <v>9</v>
      </c>
      <c r="K151" s="27">
        <f t="shared" si="5"/>
        <v>21115.01</v>
      </c>
      <c r="L151" s="27">
        <v>21115.01</v>
      </c>
      <c r="M151" s="27"/>
      <c r="N151" s="1">
        <v>7</v>
      </c>
      <c r="O151" s="27">
        <f t="shared" si="6"/>
        <v>14521.29</v>
      </c>
      <c r="P151" s="27">
        <v>14521.29</v>
      </c>
      <c r="Q151" s="27"/>
      <c r="R151" s="20"/>
    </row>
    <row r="152" spans="1:18" ht="15" customHeight="1">
      <c r="A152" s="24">
        <v>77</v>
      </c>
      <c r="B152" s="23" t="s">
        <v>94</v>
      </c>
      <c r="C152" s="24" t="s">
        <v>18</v>
      </c>
      <c r="D152" s="23"/>
      <c r="E152" s="23" t="s">
        <v>95</v>
      </c>
      <c r="F152" s="23" t="s">
        <v>431</v>
      </c>
      <c r="G152" s="23" t="s">
        <v>142</v>
      </c>
      <c r="H152" s="25">
        <v>55</v>
      </c>
      <c r="I152" s="1">
        <v>37</v>
      </c>
      <c r="J152" s="26">
        <v>58</v>
      </c>
      <c r="K152" s="27">
        <f t="shared" si="5"/>
        <v>80874.55</v>
      </c>
      <c r="L152" s="27">
        <f>39751.32+18628.45+22494.78</f>
        <v>80874.55</v>
      </c>
      <c r="M152" s="27"/>
      <c r="N152" s="1">
        <v>9</v>
      </c>
      <c r="O152" s="27">
        <f t="shared" si="6"/>
        <v>15614.91</v>
      </c>
      <c r="P152" s="27">
        <f>13489.94+2124.97</f>
        <v>15614.91</v>
      </c>
      <c r="Q152" s="27"/>
      <c r="R152" s="20"/>
    </row>
    <row r="153" spans="1:18" s="28" customFormat="1" ht="15" customHeight="1">
      <c r="A153" s="24"/>
      <c r="B153" s="23" t="s">
        <v>128</v>
      </c>
      <c r="C153" s="24" t="s">
        <v>18</v>
      </c>
      <c r="D153" s="23"/>
      <c r="E153" s="23" t="s">
        <v>95</v>
      </c>
      <c r="F153" s="23" t="s">
        <v>319</v>
      </c>
      <c r="G153" s="23" t="s">
        <v>124</v>
      </c>
      <c r="H153" s="25">
        <v>18</v>
      </c>
      <c r="I153" s="1">
        <v>6</v>
      </c>
      <c r="J153" s="26">
        <v>6</v>
      </c>
      <c r="K153" s="27">
        <f t="shared" si="5"/>
        <v>16740.8</v>
      </c>
      <c r="L153" s="27">
        <v>16740.8</v>
      </c>
      <c r="M153" s="27"/>
      <c r="N153" s="1">
        <v>2</v>
      </c>
      <c r="O153" s="27">
        <f t="shared" si="6"/>
        <v>3942.68</v>
      </c>
      <c r="P153" s="27">
        <v>3942.68</v>
      </c>
      <c r="Q153" s="27"/>
      <c r="R153" s="20"/>
    </row>
    <row r="154" spans="1:18" s="28" customFormat="1" ht="15" customHeight="1">
      <c r="A154" s="24"/>
      <c r="B154" s="23" t="s">
        <v>128</v>
      </c>
      <c r="C154" s="24" t="s">
        <v>18</v>
      </c>
      <c r="D154" s="23"/>
      <c r="E154" s="23" t="s">
        <v>95</v>
      </c>
      <c r="F154" s="23" t="s">
        <v>123</v>
      </c>
      <c r="G154" s="23" t="s">
        <v>131</v>
      </c>
      <c r="H154" s="25">
        <v>0</v>
      </c>
      <c r="I154" s="2"/>
      <c r="J154" s="26"/>
      <c r="K154" s="27">
        <f t="shared" si="5"/>
        <v>0</v>
      </c>
      <c r="L154" s="27"/>
      <c r="M154" s="27"/>
      <c r="N154" s="2"/>
      <c r="O154" s="27">
        <f t="shared" si="6"/>
        <v>0</v>
      </c>
      <c r="P154" s="27"/>
      <c r="Q154" s="27"/>
      <c r="R154" s="20"/>
    </row>
    <row r="155" spans="1:18" ht="15" customHeight="1">
      <c r="A155" s="24">
        <v>78</v>
      </c>
      <c r="B155" s="23" t="s">
        <v>96</v>
      </c>
      <c r="C155" s="24" t="s">
        <v>18</v>
      </c>
      <c r="D155" s="23"/>
      <c r="E155" s="23" t="s">
        <v>19</v>
      </c>
      <c r="F155" s="23" t="s">
        <v>432</v>
      </c>
      <c r="G155" s="23" t="s">
        <v>142</v>
      </c>
      <c r="H155" s="25">
        <v>17</v>
      </c>
      <c r="I155" s="1">
        <v>8</v>
      </c>
      <c r="J155" s="26">
        <v>8</v>
      </c>
      <c r="K155" s="27">
        <f t="shared" si="5"/>
        <v>13204.079999999998</v>
      </c>
      <c r="L155" s="27">
        <f>10994.88+2209.2</f>
        <v>13204.079999999998</v>
      </c>
      <c r="M155" s="27"/>
      <c r="N155" s="1">
        <v>4</v>
      </c>
      <c r="O155" s="27">
        <f t="shared" si="6"/>
        <v>17000.16</v>
      </c>
      <c r="P155" s="27">
        <f>7739.93+7492.87+1767.36</f>
        <v>17000.16</v>
      </c>
      <c r="Q155" s="27"/>
      <c r="R155" s="20"/>
    </row>
    <row r="156" spans="1:18" s="28" customFormat="1" ht="15" customHeight="1">
      <c r="A156" s="24"/>
      <c r="B156" s="23" t="s">
        <v>96</v>
      </c>
      <c r="C156" s="24" t="s">
        <v>18</v>
      </c>
      <c r="D156" s="23"/>
      <c r="E156" s="23" t="s">
        <v>19</v>
      </c>
      <c r="F156" s="23" t="s">
        <v>292</v>
      </c>
      <c r="G156" s="23" t="s">
        <v>131</v>
      </c>
      <c r="H156" s="25">
        <v>0</v>
      </c>
      <c r="I156" s="1"/>
      <c r="J156" s="26"/>
      <c r="K156" s="27">
        <f t="shared" si="5"/>
        <v>0</v>
      </c>
      <c r="L156" s="27"/>
      <c r="M156" s="27"/>
      <c r="N156" s="1">
        <v>2</v>
      </c>
      <c r="O156" s="27">
        <f t="shared" si="6"/>
        <v>6695.6</v>
      </c>
      <c r="P156" s="27">
        <v>6695.6</v>
      </c>
      <c r="Q156" s="27"/>
      <c r="R156" s="20"/>
    </row>
    <row r="157" spans="1:18" s="28" customFormat="1" ht="15" customHeight="1">
      <c r="A157" s="24"/>
      <c r="B157" s="23" t="s">
        <v>96</v>
      </c>
      <c r="C157" s="24" t="s">
        <v>18</v>
      </c>
      <c r="D157" s="23"/>
      <c r="E157" s="23" t="s">
        <v>19</v>
      </c>
      <c r="F157" s="23" t="s">
        <v>447</v>
      </c>
      <c r="G157" s="23" t="s">
        <v>122</v>
      </c>
      <c r="H157" s="25">
        <v>28</v>
      </c>
      <c r="I157" s="1">
        <v>10</v>
      </c>
      <c r="J157" s="26">
        <v>10</v>
      </c>
      <c r="K157" s="27">
        <f t="shared" si="5"/>
        <v>20005.8</v>
      </c>
      <c r="L157" s="27">
        <v>20005.8</v>
      </c>
      <c r="M157" s="27"/>
      <c r="N157" s="1">
        <v>8</v>
      </c>
      <c r="O157" s="27">
        <f t="shared" si="6"/>
        <v>28703.1</v>
      </c>
      <c r="P157" s="27">
        <v>28703.1</v>
      </c>
      <c r="Q157" s="27"/>
      <c r="R157" s="20"/>
    </row>
    <row r="158" spans="1:18" s="28" customFormat="1" ht="15" customHeight="1">
      <c r="A158" s="24"/>
      <c r="B158" s="23" t="s">
        <v>96</v>
      </c>
      <c r="C158" s="24" t="s">
        <v>18</v>
      </c>
      <c r="D158" s="23"/>
      <c r="E158" s="22" t="s">
        <v>19</v>
      </c>
      <c r="F158" s="23" t="s">
        <v>367</v>
      </c>
      <c r="G158" s="22" t="s">
        <v>136</v>
      </c>
      <c r="H158" s="45">
        <v>16</v>
      </c>
      <c r="I158" s="1">
        <v>8</v>
      </c>
      <c r="J158" s="26">
        <v>8</v>
      </c>
      <c r="K158" s="27">
        <f t="shared" si="5"/>
        <v>14370.38</v>
      </c>
      <c r="L158" s="27">
        <v>14370.38</v>
      </c>
      <c r="M158" s="27"/>
      <c r="N158" s="1">
        <v>2</v>
      </c>
      <c r="O158" s="27">
        <f t="shared" si="6"/>
        <v>0</v>
      </c>
      <c r="P158" s="27"/>
      <c r="Q158" s="27"/>
      <c r="R158" s="20"/>
    </row>
    <row r="159" spans="1:18" ht="15" customHeight="1">
      <c r="A159" s="24">
        <v>79</v>
      </c>
      <c r="B159" s="23" t="s">
        <v>97</v>
      </c>
      <c r="C159" s="24" t="s">
        <v>18</v>
      </c>
      <c r="D159" s="23"/>
      <c r="E159" s="23" t="s">
        <v>19</v>
      </c>
      <c r="F159" s="23" t="s">
        <v>462</v>
      </c>
      <c r="G159" s="23" t="s">
        <v>142</v>
      </c>
      <c r="H159" s="25">
        <v>6</v>
      </c>
      <c r="I159" s="1"/>
      <c r="J159" s="26"/>
      <c r="K159" s="27">
        <f t="shared" si="5"/>
        <v>0</v>
      </c>
      <c r="L159" s="27"/>
      <c r="M159" s="27"/>
      <c r="N159" s="1">
        <v>3</v>
      </c>
      <c r="O159" s="27">
        <f t="shared" si="6"/>
        <v>0</v>
      </c>
      <c r="P159" s="27"/>
      <c r="Q159" s="27"/>
      <c r="R159" s="20"/>
    </row>
    <row r="160" spans="1:18" ht="15" customHeight="1">
      <c r="A160" s="24">
        <v>80</v>
      </c>
      <c r="B160" s="23" t="s">
        <v>98</v>
      </c>
      <c r="C160" s="24" t="s">
        <v>18</v>
      </c>
      <c r="D160" s="23"/>
      <c r="E160" s="23" t="s">
        <v>19</v>
      </c>
      <c r="F160" s="23" t="s">
        <v>433</v>
      </c>
      <c r="G160" s="23" t="s">
        <v>142</v>
      </c>
      <c r="H160" s="25">
        <v>34</v>
      </c>
      <c r="I160" s="1">
        <v>31</v>
      </c>
      <c r="J160" s="26">
        <v>33</v>
      </c>
      <c r="K160" s="27">
        <f t="shared" si="5"/>
        <v>37106.480000000003</v>
      </c>
      <c r="L160" s="27">
        <f>27886.37+2036.15+7183.96</f>
        <v>37106.480000000003</v>
      </c>
      <c r="M160" s="27"/>
      <c r="N160" s="1">
        <v>10</v>
      </c>
      <c r="O160" s="27">
        <f t="shared" si="6"/>
        <v>45190.87</v>
      </c>
      <c r="P160" s="27">
        <f>40147.51+5043.36</f>
        <v>45190.87</v>
      </c>
      <c r="Q160" s="27"/>
      <c r="R160" s="20"/>
    </row>
    <row r="161" spans="1:18" ht="15" customHeight="1">
      <c r="A161" s="24">
        <v>81</v>
      </c>
      <c r="B161" s="23" t="s">
        <v>99</v>
      </c>
      <c r="C161" s="24" t="s">
        <v>18</v>
      </c>
      <c r="D161" s="23"/>
      <c r="E161" s="23" t="s">
        <v>19</v>
      </c>
      <c r="F161" s="23" t="s">
        <v>120</v>
      </c>
      <c r="G161" s="23" t="s">
        <v>142</v>
      </c>
      <c r="H161" s="25">
        <v>0</v>
      </c>
      <c r="I161" s="1"/>
      <c r="J161" s="26"/>
      <c r="K161" s="27">
        <f t="shared" si="5"/>
        <v>0</v>
      </c>
      <c r="L161" s="27"/>
      <c r="M161" s="27"/>
      <c r="N161" s="1">
        <v>2</v>
      </c>
      <c r="O161" s="27">
        <f t="shared" si="6"/>
        <v>3783.84</v>
      </c>
      <c r="P161" s="27">
        <f>1923.17+1860.67</f>
        <v>3783.84</v>
      </c>
      <c r="Q161" s="27"/>
      <c r="R161" s="20"/>
    </row>
    <row r="162" spans="1:18" ht="24.6" customHeight="1">
      <c r="A162" s="29">
        <v>82</v>
      </c>
      <c r="B162" s="30" t="s">
        <v>100</v>
      </c>
      <c r="C162" s="29" t="s">
        <v>30</v>
      </c>
      <c r="D162" s="30" t="s">
        <v>101</v>
      </c>
      <c r="E162" s="30" t="s">
        <v>19</v>
      </c>
      <c r="F162" s="23" t="s">
        <v>434</v>
      </c>
      <c r="G162" s="30" t="s">
        <v>142</v>
      </c>
      <c r="H162" s="25">
        <v>15</v>
      </c>
      <c r="I162" s="1"/>
      <c r="J162" s="26"/>
      <c r="K162" s="27">
        <f t="shared" si="5"/>
        <v>0</v>
      </c>
      <c r="L162" s="27"/>
      <c r="M162" s="27"/>
      <c r="N162" s="1"/>
      <c r="O162" s="27">
        <f t="shared" si="6"/>
        <v>0</v>
      </c>
      <c r="P162" s="27"/>
      <c r="Q162" s="27"/>
      <c r="R162" s="20"/>
    </row>
    <row r="163" spans="1:18" s="28" customFormat="1" ht="29.25" customHeight="1">
      <c r="A163" s="29"/>
      <c r="B163" s="30" t="s">
        <v>100</v>
      </c>
      <c r="C163" s="29" t="s">
        <v>30</v>
      </c>
      <c r="D163" s="30" t="s">
        <v>101</v>
      </c>
      <c r="E163" s="30" t="s">
        <v>19</v>
      </c>
      <c r="F163" s="30" t="s">
        <v>292</v>
      </c>
      <c r="G163" s="30" t="s">
        <v>122</v>
      </c>
      <c r="H163" s="25">
        <v>0</v>
      </c>
      <c r="I163" s="1"/>
      <c r="J163" s="26"/>
      <c r="K163" s="27">
        <f t="shared" si="5"/>
        <v>0</v>
      </c>
      <c r="L163" s="27"/>
      <c r="M163" s="27"/>
      <c r="N163" s="1"/>
      <c r="O163" s="27">
        <f t="shared" si="6"/>
        <v>0</v>
      </c>
      <c r="P163" s="27"/>
      <c r="Q163" s="27"/>
      <c r="R163" s="20"/>
    </row>
    <row r="164" spans="1:18" ht="26.25" customHeight="1">
      <c r="A164" s="46">
        <v>83</v>
      </c>
      <c r="B164" s="60" t="s">
        <v>144</v>
      </c>
      <c r="C164" s="46" t="s">
        <v>18</v>
      </c>
      <c r="D164" s="60"/>
      <c r="E164" s="60" t="s">
        <v>104</v>
      </c>
      <c r="F164" s="60" t="s">
        <v>120</v>
      </c>
      <c r="G164" s="60" t="s">
        <v>142</v>
      </c>
      <c r="H164" s="61">
        <v>0</v>
      </c>
      <c r="I164" s="1"/>
      <c r="J164" s="26"/>
      <c r="K164" s="27">
        <f t="shared" si="5"/>
        <v>0</v>
      </c>
      <c r="L164" s="63"/>
      <c r="M164" s="63"/>
      <c r="N164" s="1"/>
      <c r="O164" s="27">
        <f t="shared" si="6"/>
        <v>0</v>
      </c>
      <c r="P164" s="63"/>
      <c r="Q164" s="63"/>
      <c r="R164" s="20"/>
    </row>
    <row r="165" spans="1:18" ht="15.75" customHeight="1">
      <c r="A165" s="24">
        <v>84</v>
      </c>
      <c r="B165" s="23" t="s">
        <v>102</v>
      </c>
      <c r="C165" s="24" t="s">
        <v>18</v>
      </c>
      <c r="D165" s="23"/>
      <c r="E165" s="23" t="s">
        <v>19</v>
      </c>
      <c r="F165" s="60" t="s">
        <v>120</v>
      </c>
      <c r="G165" s="23" t="s">
        <v>142</v>
      </c>
      <c r="H165" s="25">
        <v>0</v>
      </c>
      <c r="I165" s="1"/>
      <c r="J165" s="26"/>
      <c r="K165" s="27">
        <f t="shared" si="5"/>
        <v>0</v>
      </c>
      <c r="L165" s="27"/>
      <c r="M165" s="27"/>
      <c r="N165" s="1"/>
      <c r="O165" s="27">
        <f t="shared" si="6"/>
        <v>0</v>
      </c>
      <c r="P165" s="27"/>
      <c r="Q165" s="27"/>
      <c r="R165" s="20"/>
    </row>
    <row r="166" spans="1:18" ht="15" customHeight="1">
      <c r="A166" s="24">
        <v>85</v>
      </c>
      <c r="B166" s="23" t="s">
        <v>103</v>
      </c>
      <c r="C166" s="24" t="s">
        <v>18</v>
      </c>
      <c r="D166" s="23"/>
      <c r="E166" s="23" t="s">
        <v>19</v>
      </c>
      <c r="F166" s="60" t="s">
        <v>120</v>
      </c>
      <c r="G166" s="23" t="s">
        <v>142</v>
      </c>
      <c r="H166" s="25">
        <v>0</v>
      </c>
      <c r="I166" s="1"/>
      <c r="J166" s="26"/>
      <c r="K166" s="27">
        <f t="shared" si="5"/>
        <v>0</v>
      </c>
      <c r="L166" s="27"/>
      <c r="M166" s="27"/>
      <c r="N166" s="1">
        <v>1</v>
      </c>
      <c r="O166" s="27">
        <f t="shared" si="6"/>
        <v>12670.26</v>
      </c>
      <c r="P166" s="27">
        <v>12670.26</v>
      </c>
      <c r="Q166" s="27"/>
      <c r="R166" s="20"/>
    </row>
    <row r="167" spans="1:18" s="28" customFormat="1" ht="15" customHeight="1">
      <c r="A167" s="24"/>
      <c r="B167" s="23" t="s">
        <v>103</v>
      </c>
      <c r="C167" s="24" t="s">
        <v>18</v>
      </c>
      <c r="D167" s="23"/>
      <c r="E167" s="23" t="s">
        <v>19</v>
      </c>
      <c r="F167" s="23" t="s">
        <v>456</v>
      </c>
      <c r="G167" s="23" t="s">
        <v>122</v>
      </c>
      <c r="H167" s="25">
        <v>9</v>
      </c>
      <c r="I167" s="1"/>
      <c r="J167" s="26"/>
      <c r="K167" s="27">
        <f t="shared" si="5"/>
        <v>0</v>
      </c>
      <c r="L167" s="27"/>
      <c r="M167" s="27"/>
      <c r="N167" s="1"/>
      <c r="O167" s="27">
        <f t="shared" si="6"/>
        <v>2731.1</v>
      </c>
      <c r="P167" s="27">
        <v>2731.1</v>
      </c>
      <c r="Q167" s="27"/>
      <c r="R167" s="20"/>
    </row>
    <row r="168" spans="1:18" ht="15" customHeight="1">
      <c r="A168" s="41">
        <v>86</v>
      </c>
      <c r="B168" s="37" t="s">
        <v>302</v>
      </c>
      <c r="C168" s="41" t="s">
        <v>18</v>
      </c>
      <c r="D168" s="37"/>
      <c r="E168" s="37" t="s">
        <v>104</v>
      </c>
      <c r="F168" s="37" t="s">
        <v>461</v>
      </c>
      <c r="G168" s="37" t="s">
        <v>142</v>
      </c>
      <c r="H168" s="42">
        <v>29</v>
      </c>
      <c r="I168" s="40">
        <v>17</v>
      </c>
      <c r="J168" s="43">
        <v>19</v>
      </c>
      <c r="K168" s="27">
        <f t="shared" si="5"/>
        <v>21083.89</v>
      </c>
      <c r="L168" s="39">
        <f>13931.98+7151.91</f>
        <v>21083.89</v>
      </c>
      <c r="M168" s="39"/>
      <c r="N168" s="40"/>
      <c r="O168" s="27">
        <f t="shared" si="6"/>
        <v>0</v>
      </c>
      <c r="P168" s="39"/>
      <c r="Q168" s="39"/>
      <c r="R168" s="20"/>
    </row>
    <row r="169" spans="1:18" s="28" customFormat="1" ht="15" customHeight="1">
      <c r="A169" s="24"/>
      <c r="B169" s="23" t="s">
        <v>302</v>
      </c>
      <c r="C169" s="24" t="s">
        <v>18</v>
      </c>
      <c r="D169" s="23"/>
      <c r="E169" s="23" t="s">
        <v>19</v>
      </c>
      <c r="F169" s="23" t="s">
        <v>348</v>
      </c>
      <c r="G169" s="23" t="s">
        <v>122</v>
      </c>
      <c r="H169" s="25">
        <v>35</v>
      </c>
      <c r="I169" s="1">
        <v>11</v>
      </c>
      <c r="J169" s="26">
        <v>11</v>
      </c>
      <c r="K169" s="27">
        <f t="shared" si="5"/>
        <v>22626.52</v>
      </c>
      <c r="L169" s="27">
        <v>22626.52</v>
      </c>
      <c r="M169" s="27"/>
      <c r="N169" s="1"/>
      <c r="O169" s="27">
        <f t="shared" si="6"/>
        <v>0</v>
      </c>
      <c r="P169" s="27"/>
      <c r="Q169" s="27"/>
      <c r="R169" s="20"/>
    </row>
    <row r="170" spans="1:18" s="28" customFormat="1" ht="15" customHeight="1">
      <c r="A170" s="24">
        <v>87</v>
      </c>
      <c r="B170" s="23" t="s">
        <v>328</v>
      </c>
      <c r="C170" s="24" t="s">
        <v>18</v>
      </c>
      <c r="D170" s="23"/>
      <c r="E170" s="23" t="s">
        <v>19</v>
      </c>
      <c r="F170" s="23" t="s">
        <v>347</v>
      </c>
      <c r="G170" s="23" t="s">
        <v>122</v>
      </c>
      <c r="H170" s="25">
        <v>17</v>
      </c>
      <c r="I170" s="1">
        <v>2</v>
      </c>
      <c r="J170" s="26">
        <v>2</v>
      </c>
      <c r="K170" s="27">
        <f t="shared" si="5"/>
        <v>4531.3999999999996</v>
      </c>
      <c r="L170" s="27">
        <v>4531.3999999999996</v>
      </c>
      <c r="M170" s="27"/>
      <c r="N170" s="1"/>
      <c r="O170" s="27">
        <f t="shared" si="6"/>
        <v>0</v>
      </c>
      <c r="P170" s="27"/>
      <c r="Q170" s="27"/>
      <c r="R170" s="20"/>
    </row>
    <row r="171" spans="1:18" ht="15" customHeight="1">
      <c r="A171" s="24">
        <v>88</v>
      </c>
      <c r="B171" s="23" t="s">
        <v>314</v>
      </c>
      <c r="C171" s="24" t="s">
        <v>18</v>
      </c>
      <c r="D171" s="23"/>
      <c r="E171" s="23" t="s">
        <v>460</v>
      </c>
      <c r="F171" s="23" t="s">
        <v>435</v>
      </c>
      <c r="G171" s="23" t="s">
        <v>142</v>
      </c>
      <c r="H171" s="25">
        <v>9</v>
      </c>
      <c r="I171" s="1">
        <v>5</v>
      </c>
      <c r="J171" s="26">
        <v>5</v>
      </c>
      <c r="K171" s="27">
        <f t="shared" si="5"/>
        <v>0</v>
      </c>
      <c r="L171" s="27"/>
      <c r="M171" s="27"/>
      <c r="N171" s="1"/>
      <c r="O171" s="27">
        <f t="shared" si="6"/>
        <v>0</v>
      </c>
      <c r="P171" s="27"/>
      <c r="Q171" s="27"/>
      <c r="R171" s="20"/>
    </row>
    <row r="172" spans="1:18" s="28" customFormat="1" ht="15" customHeight="1">
      <c r="A172" s="41"/>
      <c r="B172" s="37" t="s">
        <v>314</v>
      </c>
      <c r="C172" s="41" t="s">
        <v>18</v>
      </c>
      <c r="D172" s="37"/>
      <c r="E172" s="37" t="s">
        <v>460</v>
      </c>
      <c r="F172" s="37" t="s">
        <v>474</v>
      </c>
      <c r="G172" s="37" t="s">
        <v>131</v>
      </c>
      <c r="H172" s="42">
        <v>2</v>
      </c>
      <c r="I172" s="40"/>
      <c r="J172" s="43"/>
      <c r="K172" s="27">
        <f t="shared" si="5"/>
        <v>0</v>
      </c>
      <c r="L172" s="39"/>
      <c r="M172" s="39"/>
      <c r="N172" s="40"/>
      <c r="O172" s="27">
        <f t="shared" si="6"/>
        <v>0</v>
      </c>
      <c r="P172" s="39"/>
      <c r="Q172" s="39"/>
      <c r="R172" s="20"/>
    </row>
    <row r="173" spans="1:18" s="28" customFormat="1" ht="15" customHeight="1">
      <c r="A173" s="24"/>
      <c r="B173" s="23" t="s">
        <v>314</v>
      </c>
      <c r="C173" s="24" t="s">
        <v>18</v>
      </c>
      <c r="D173" s="23"/>
      <c r="E173" s="23" t="s">
        <v>460</v>
      </c>
      <c r="F173" s="23" t="s">
        <v>465</v>
      </c>
      <c r="G173" s="23" t="s">
        <v>136</v>
      </c>
      <c r="H173" s="25">
        <v>29</v>
      </c>
      <c r="I173" s="1">
        <v>19</v>
      </c>
      <c r="J173" s="26">
        <v>19</v>
      </c>
      <c r="K173" s="27">
        <f t="shared" si="5"/>
        <v>13352.4</v>
      </c>
      <c r="L173" s="27">
        <v>13352.4</v>
      </c>
      <c r="M173" s="27"/>
      <c r="N173" s="1"/>
      <c r="O173" s="27">
        <f t="shared" si="6"/>
        <v>0</v>
      </c>
      <c r="P173" s="27"/>
      <c r="Q173" s="27"/>
      <c r="R173" s="20"/>
    </row>
    <row r="174" spans="1:18" s="28" customFormat="1" ht="15" customHeight="1">
      <c r="A174" s="24">
        <v>89</v>
      </c>
      <c r="B174" s="23" t="s">
        <v>330</v>
      </c>
      <c r="C174" s="24" t="s">
        <v>18</v>
      </c>
      <c r="D174" s="23"/>
      <c r="E174" s="23" t="s">
        <v>104</v>
      </c>
      <c r="F174" s="23" t="s">
        <v>341</v>
      </c>
      <c r="G174" s="23" t="s">
        <v>131</v>
      </c>
      <c r="H174" s="25">
        <v>15</v>
      </c>
      <c r="I174" s="1">
        <v>14</v>
      </c>
      <c r="J174" s="26">
        <v>14</v>
      </c>
      <c r="K174" s="27">
        <f t="shared" si="5"/>
        <v>39983.660000000003</v>
      </c>
      <c r="L174" s="27">
        <v>39983.660000000003</v>
      </c>
      <c r="M174" s="27"/>
      <c r="N174" s="1"/>
      <c r="O174" s="27">
        <f t="shared" si="6"/>
        <v>0</v>
      </c>
      <c r="P174" s="27"/>
      <c r="Q174" s="27"/>
      <c r="R174" s="20"/>
    </row>
    <row r="175" spans="1:18" s="28" customFormat="1" ht="15" customHeight="1">
      <c r="A175" s="24"/>
      <c r="B175" s="23" t="s">
        <v>330</v>
      </c>
      <c r="C175" s="24" t="s">
        <v>18</v>
      </c>
      <c r="D175" s="23"/>
      <c r="E175" s="23" t="s">
        <v>19</v>
      </c>
      <c r="F175" s="23" t="s">
        <v>346</v>
      </c>
      <c r="G175" s="23" t="s">
        <v>122</v>
      </c>
      <c r="H175" s="25">
        <v>14</v>
      </c>
      <c r="I175" s="1">
        <v>6</v>
      </c>
      <c r="J175" s="26">
        <v>7</v>
      </c>
      <c r="K175" s="27">
        <f t="shared" si="5"/>
        <v>12397.55</v>
      </c>
      <c r="L175" s="27">
        <v>12397.55</v>
      </c>
      <c r="M175" s="27"/>
      <c r="N175" s="1"/>
      <c r="O175" s="27">
        <f t="shared" si="6"/>
        <v>0</v>
      </c>
      <c r="P175" s="27"/>
      <c r="Q175" s="27"/>
      <c r="R175" s="20"/>
    </row>
    <row r="176" spans="1:18" ht="24.75" customHeight="1">
      <c r="A176" s="29">
        <v>90</v>
      </c>
      <c r="B176" s="30" t="s">
        <v>105</v>
      </c>
      <c r="C176" s="29" t="s">
        <v>30</v>
      </c>
      <c r="D176" s="30" t="s">
        <v>106</v>
      </c>
      <c r="E176" s="30" t="s">
        <v>19</v>
      </c>
      <c r="F176" s="30" t="s">
        <v>436</v>
      </c>
      <c r="G176" s="30" t="s">
        <v>142</v>
      </c>
      <c r="H176" s="25">
        <v>18</v>
      </c>
      <c r="I176" s="1">
        <v>4</v>
      </c>
      <c r="J176" s="26">
        <v>4</v>
      </c>
      <c r="K176" s="27">
        <f t="shared" si="5"/>
        <v>9395.39</v>
      </c>
      <c r="L176" s="27">
        <f>6547.59+2847.8</f>
        <v>9395.39</v>
      </c>
      <c r="M176" s="27"/>
      <c r="N176" s="1">
        <v>1</v>
      </c>
      <c r="O176" s="27">
        <f t="shared" si="6"/>
        <v>25657.809999999998</v>
      </c>
      <c r="P176" s="27">
        <f>23296.73+2361.08</f>
        <v>25657.809999999998</v>
      </c>
      <c r="Q176" s="27"/>
      <c r="R176" s="20"/>
    </row>
    <row r="177" spans="1:38" ht="24.75" customHeight="1">
      <c r="A177" s="29">
        <v>91</v>
      </c>
      <c r="B177" s="30" t="s">
        <v>315</v>
      </c>
      <c r="C177" s="29" t="s">
        <v>18</v>
      </c>
      <c r="D177" s="30"/>
      <c r="E177" s="30" t="s">
        <v>19</v>
      </c>
      <c r="F177" s="30" t="s">
        <v>437</v>
      </c>
      <c r="G177" s="30" t="s">
        <v>142</v>
      </c>
      <c r="H177" s="25">
        <v>17</v>
      </c>
      <c r="I177" s="1">
        <v>17</v>
      </c>
      <c r="J177" s="26">
        <v>26</v>
      </c>
      <c r="K177" s="27">
        <f t="shared" si="5"/>
        <v>16358.07</v>
      </c>
      <c r="L177" s="27">
        <f>10611.5+3116.81+2629.76</f>
        <v>16358.07</v>
      </c>
      <c r="M177" s="27"/>
      <c r="N177" s="1"/>
      <c r="O177" s="27">
        <f t="shared" si="6"/>
        <v>0</v>
      </c>
      <c r="P177" s="27"/>
      <c r="Q177" s="27"/>
      <c r="R177" s="20"/>
    </row>
    <row r="178" spans="1:38" s="28" customFormat="1" ht="24.75" customHeight="1">
      <c r="A178" s="29"/>
      <c r="B178" s="30" t="s">
        <v>315</v>
      </c>
      <c r="C178" s="29" t="s">
        <v>18</v>
      </c>
      <c r="D178" s="30"/>
      <c r="E178" s="30" t="s">
        <v>322</v>
      </c>
      <c r="F178" s="30" t="s">
        <v>323</v>
      </c>
      <c r="G178" s="30" t="s">
        <v>124</v>
      </c>
      <c r="H178" s="25">
        <v>7</v>
      </c>
      <c r="I178" s="1"/>
      <c r="J178" s="26"/>
      <c r="K178" s="27">
        <f t="shared" si="5"/>
        <v>0</v>
      </c>
      <c r="L178" s="27"/>
      <c r="M178" s="27"/>
      <c r="N178" s="1"/>
      <c r="O178" s="27">
        <f t="shared" si="6"/>
        <v>0</v>
      </c>
      <c r="P178" s="27"/>
      <c r="Q178" s="27"/>
      <c r="R178" s="20"/>
    </row>
    <row r="179" spans="1:38" s="7" customFormat="1" ht="38.450000000000003" customHeight="1">
      <c r="A179" s="29">
        <v>92</v>
      </c>
      <c r="B179" s="30" t="s">
        <v>265</v>
      </c>
      <c r="C179" s="29" t="s">
        <v>18</v>
      </c>
      <c r="D179" s="30"/>
      <c r="E179" s="30" t="s">
        <v>19</v>
      </c>
      <c r="F179" s="30" t="s">
        <v>123</v>
      </c>
      <c r="G179" s="30" t="s">
        <v>142</v>
      </c>
      <c r="H179" s="25">
        <v>0</v>
      </c>
      <c r="I179" s="1"/>
      <c r="J179" s="26"/>
      <c r="K179" s="27">
        <f t="shared" si="5"/>
        <v>0</v>
      </c>
      <c r="L179" s="27"/>
      <c r="M179" s="27"/>
      <c r="N179" s="1"/>
      <c r="O179" s="27">
        <f t="shared" si="6"/>
        <v>0</v>
      </c>
      <c r="P179" s="27"/>
      <c r="Q179" s="27"/>
      <c r="R179" s="20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s="7" customFormat="1" ht="38.450000000000003" customHeight="1">
      <c r="A180" s="24">
        <v>93</v>
      </c>
      <c r="B180" s="23" t="s">
        <v>107</v>
      </c>
      <c r="C180" s="24" t="s">
        <v>18</v>
      </c>
      <c r="D180" s="23"/>
      <c r="E180" s="23" t="s">
        <v>41</v>
      </c>
      <c r="F180" s="30" t="s">
        <v>438</v>
      </c>
      <c r="G180" s="23" t="s">
        <v>142</v>
      </c>
      <c r="H180" s="25">
        <v>2</v>
      </c>
      <c r="I180" s="1">
        <v>1</v>
      </c>
      <c r="J180" s="44">
        <v>1</v>
      </c>
      <c r="K180" s="27">
        <f t="shared" si="5"/>
        <v>4648.6000000000004</v>
      </c>
      <c r="L180" s="27">
        <f>4648.6</f>
        <v>4648.6000000000004</v>
      </c>
      <c r="M180" s="27"/>
      <c r="N180" s="1">
        <v>10</v>
      </c>
      <c r="O180" s="27">
        <f t="shared" si="6"/>
        <v>18529.57</v>
      </c>
      <c r="P180" s="27">
        <f>12101.07+2202.5+4226</f>
        <v>18529.57</v>
      </c>
      <c r="Q180" s="27"/>
      <c r="R180" s="20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s="28" customFormat="1" ht="15.75" customHeight="1">
      <c r="A181" s="24"/>
      <c r="B181" s="23" t="s">
        <v>107</v>
      </c>
      <c r="C181" s="24" t="s">
        <v>18</v>
      </c>
      <c r="D181" s="23"/>
      <c r="E181" s="23" t="s">
        <v>41</v>
      </c>
      <c r="F181" s="23" t="s">
        <v>464</v>
      </c>
      <c r="G181" s="23" t="s">
        <v>136</v>
      </c>
      <c r="H181" s="25">
        <v>19</v>
      </c>
      <c r="I181" s="2">
        <v>15</v>
      </c>
      <c r="J181" s="26">
        <v>15</v>
      </c>
      <c r="K181" s="27">
        <f t="shared" si="5"/>
        <v>24176.3</v>
      </c>
      <c r="L181" s="27">
        <v>24176.3</v>
      </c>
      <c r="M181" s="27"/>
      <c r="N181" s="2">
        <v>19</v>
      </c>
      <c r="O181" s="27">
        <f t="shared" si="6"/>
        <v>31810.799999999999</v>
      </c>
      <c r="P181" s="27">
        <v>31810.799999999999</v>
      </c>
      <c r="Q181" s="27"/>
      <c r="R181" s="20"/>
    </row>
    <row r="182" spans="1:38" ht="16.5" customHeight="1">
      <c r="A182" s="24">
        <v>94</v>
      </c>
      <c r="B182" s="23" t="s">
        <v>108</v>
      </c>
      <c r="C182" s="24" t="s">
        <v>18</v>
      </c>
      <c r="D182" s="23"/>
      <c r="E182" s="23" t="s">
        <v>19</v>
      </c>
      <c r="F182" s="23" t="s">
        <v>439</v>
      </c>
      <c r="G182" s="23" t="s">
        <v>142</v>
      </c>
      <c r="H182" s="25">
        <v>55</v>
      </c>
      <c r="I182" s="1">
        <v>51</v>
      </c>
      <c r="J182" s="26">
        <v>52</v>
      </c>
      <c r="K182" s="27">
        <f t="shared" si="5"/>
        <v>49416.45</v>
      </c>
      <c r="L182" s="27">
        <f>18249.71+2079.16+21676.36+7411.22</f>
        <v>49416.45</v>
      </c>
      <c r="M182" s="27"/>
      <c r="N182" s="1">
        <v>9</v>
      </c>
      <c r="O182" s="27">
        <f t="shared" si="6"/>
        <v>112540.69</v>
      </c>
      <c r="P182" s="27">
        <f>106471.7+3602.05+2466.94</f>
        <v>112540.69</v>
      </c>
      <c r="Q182" s="27"/>
      <c r="R182" s="20"/>
    </row>
    <row r="183" spans="1:38" s="28" customFormat="1" ht="16.5" customHeight="1">
      <c r="A183" s="24"/>
      <c r="B183" s="23" t="s">
        <v>108</v>
      </c>
      <c r="C183" s="24" t="s">
        <v>18</v>
      </c>
      <c r="D183" s="23"/>
      <c r="E183" s="23" t="s">
        <v>19</v>
      </c>
      <c r="F183" s="23" t="s">
        <v>345</v>
      </c>
      <c r="G183" s="23" t="s">
        <v>122</v>
      </c>
      <c r="H183" s="25">
        <v>25</v>
      </c>
      <c r="I183" s="1">
        <v>14</v>
      </c>
      <c r="J183" s="26">
        <v>14</v>
      </c>
      <c r="K183" s="27">
        <f t="shared" si="5"/>
        <v>19546.5</v>
      </c>
      <c r="L183" s="27">
        <v>19546.5</v>
      </c>
      <c r="M183" s="27"/>
      <c r="N183" s="1">
        <v>11</v>
      </c>
      <c r="O183" s="27">
        <f t="shared" si="6"/>
        <v>16713.62</v>
      </c>
      <c r="P183" s="27">
        <v>16713.62</v>
      </c>
      <c r="Q183" s="27"/>
      <c r="R183" s="20"/>
    </row>
    <row r="184" spans="1:38" s="7" customFormat="1" ht="16.5" customHeight="1">
      <c r="A184" s="24">
        <v>95</v>
      </c>
      <c r="B184" s="23" t="s">
        <v>146</v>
      </c>
      <c r="C184" s="24" t="s">
        <v>18</v>
      </c>
      <c r="D184" s="23"/>
      <c r="E184" s="23" t="s">
        <v>104</v>
      </c>
      <c r="F184" s="23" t="s">
        <v>475</v>
      </c>
      <c r="G184" s="23" t="s">
        <v>142</v>
      </c>
      <c r="H184" s="25">
        <v>67</v>
      </c>
      <c r="I184" s="1">
        <v>46</v>
      </c>
      <c r="J184" s="26">
        <v>48</v>
      </c>
      <c r="K184" s="27">
        <f t="shared" si="5"/>
        <v>49958.03</v>
      </c>
      <c r="L184" s="27">
        <f>35037.97+14920.06</f>
        <v>49958.03</v>
      </c>
      <c r="M184" s="27"/>
      <c r="N184" s="1">
        <v>4</v>
      </c>
      <c r="O184" s="27">
        <f t="shared" si="6"/>
        <v>24743.9</v>
      </c>
      <c r="P184" s="27">
        <v>24743.9</v>
      </c>
      <c r="Q184" s="27"/>
      <c r="R184" s="20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3.45" customHeight="1">
      <c r="A185" s="29">
        <v>96</v>
      </c>
      <c r="B185" s="30" t="s">
        <v>109</v>
      </c>
      <c r="C185" s="29" t="s">
        <v>52</v>
      </c>
      <c r="D185" s="30" t="s">
        <v>110</v>
      </c>
      <c r="E185" s="30" t="s">
        <v>19</v>
      </c>
      <c r="F185" s="30" t="s">
        <v>440</v>
      </c>
      <c r="G185" s="30" t="s">
        <v>142</v>
      </c>
      <c r="H185" s="25">
        <v>82</v>
      </c>
      <c r="I185" s="1">
        <v>70</v>
      </c>
      <c r="J185" s="26">
        <v>70</v>
      </c>
      <c r="K185" s="27">
        <f t="shared" si="5"/>
        <v>50080.439999999995</v>
      </c>
      <c r="L185" s="27">
        <f>11917.66+14999.84+18523.09+4639.85</f>
        <v>50080.439999999995</v>
      </c>
      <c r="M185" s="27"/>
      <c r="N185" s="1">
        <v>19</v>
      </c>
      <c r="O185" s="27">
        <f t="shared" si="6"/>
        <v>114375.64</v>
      </c>
      <c r="P185" s="27">
        <f>98283.26+14260.88+1831.5</f>
        <v>114375.64</v>
      </c>
      <c r="Q185" s="27"/>
      <c r="R185" s="20"/>
    </row>
    <row r="186" spans="1:38" s="28" customFormat="1" ht="27" customHeight="1">
      <c r="A186" s="29"/>
      <c r="B186" s="30" t="s">
        <v>109</v>
      </c>
      <c r="C186" s="29" t="s">
        <v>52</v>
      </c>
      <c r="D186" s="30" t="s">
        <v>110</v>
      </c>
      <c r="E186" s="30" t="s">
        <v>19</v>
      </c>
      <c r="F186" s="30" t="s">
        <v>344</v>
      </c>
      <c r="G186" s="30" t="s">
        <v>122</v>
      </c>
      <c r="H186" s="25">
        <v>44</v>
      </c>
      <c r="I186" s="1">
        <v>19</v>
      </c>
      <c r="J186" s="44">
        <v>19</v>
      </c>
      <c r="K186" s="27">
        <f t="shared" si="5"/>
        <v>33459.919999999998</v>
      </c>
      <c r="L186" s="27">
        <v>33459.919999999998</v>
      </c>
      <c r="M186" s="27"/>
      <c r="N186" s="1">
        <v>25</v>
      </c>
      <c r="O186" s="27">
        <f t="shared" si="6"/>
        <v>48701.81</v>
      </c>
      <c r="P186" s="27">
        <v>48701.81</v>
      </c>
      <c r="Q186" s="27"/>
      <c r="R186" s="20"/>
    </row>
    <row r="187" spans="1:38" ht="27.75" customHeight="1">
      <c r="A187" s="24">
        <v>97</v>
      </c>
      <c r="B187" s="23" t="s">
        <v>111</v>
      </c>
      <c r="C187" s="24" t="s">
        <v>18</v>
      </c>
      <c r="D187" s="23"/>
      <c r="E187" s="23" t="s">
        <v>112</v>
      </c>
      <c r="F187" s="23" t="s">
        <v>441</v>
      </c>
      <c r="G187" s="23" t="s">
        <v>142</v>
      </c>
      <c r="H187" s="25">
        <v>12</v>
      </c>
      <c r="I187" s="1">
        <v>7</v>
      </c>
      <c r="J187" s="26">
        <v>8</v>
      </c>
      <c r="K187" s="27">
        <f t="shared" si="5"/>
        <v>5167.07</v>
      </c>
      <c r="L187" s="27">
        <f>5167.07</f>
        <v>5167.07</v>
      </c>
      <c r="M187" s="27"/>
      <c r="N187" s="1">
        <v>11</v>
      </c>
      <c r="O187" s="27">
        <f t="shared" si="6"/>
        <v>50932.630000000005</v>
      </c>
      <c r="P187" s="27">
        <f>27541.74+4091.72+19299.17</f>
        <v>50932.630000000005</v>
      </c>
      <c r="Q187" s="27"/>
      <c r="R187" s="20"/>
    </row>
    <row r="188" spans="1:38" s="28" customFormat="1" ht="16.5" customHeight="1">
      <c r="A188" s="24"/>
      <c r="B188" s="23" t="s">
        <v>111</v>
      </c>
      <c r="C188" s="24" t="s">
        <v>18</v>
      </c>
      <c r="D188" s="23"/>
      <c r="E188" s="23" t="s">
        <v>112</v>
      </c>
      <c r="F188" s="23" t="s">
        <v>466</v>
      </c>
      <c r="G188" s="23" t="s">
        <v>136</v>
      </c>
      <c r="H188" s="25">
        <v>9</v>
      </c>
      <c r="I188" s="2">
        <v>1</v>
      </c>
      <c r="J188" s="26">
        <v>1</v>
      </c>
      <c r="K188" s="27">
        <f t="shared" si="5"/>
        <v>881</v>
      </c>
      <c r="L188" s="27">
        <v>881</v>
      </c>
      <c r="M188" s="27"/>
      <c r="N188" s="2">
        <v>4</v>
      </c>
      <c r="O188" s="27">
        <f t="shared" si="6"/>
        <v>1991.2</v>
      </c>
      <c r="P188" s="27">
        <v>1991.2</v>
      </c>
      <c r="Q188" s="27"/>
      <c r="R188" s="20"/>
    </row>
    <row r="189" spans="1:38" s="28" customFormat="1" ht="16.5" customHeight="1">
      <c r="A189" s="41">
        <v>98</v>
      </c>
      <c r="B189" s="37" t="s">
        <v>482</v>
      </c>
      <c r="C189" s="41" t="s">
        <v>18</v>
      </c>
      <c r="D189" s="37"/>
      <c r="E189" s="37" t="s">
        <v>104</v>
      </c>
      <c r="F189" s="37" t="s">
        <v>483</v>
      </c>
      <c r="G189" s="37" t="s">
        <v>122</v>
      </c>
      <c r="H189" s="42">
        <v>31</v>
      </c>
      <c r="I189" s="38">
        <v>11</v>
      </c>
      <c r="J189" s="43">
        <v>11</v>
      </c>
      <c r="K189" s="27">
        <f t="shared" si="5"/>
        <v>8284.5</v>
      </c>
      <c r="L189" s="39">
        <v>8284.5</v>
      </c>
      <c r="M189" s="39"/>
      <c r="N189" s="38"/>
      <c r="O189" s="27">
        <f t="shared" si="6"/>
        <v>0</v>
      </c>
      <c r="P189" s="39"/>
      <c r="Q189" s="39"/>
      <c r="R189" s="20"/>
    </row>
    <row r="190" spans="1:38" ht="16.5" customHeight="1">
      <c r="A190" s="24">
        <v>99</v>
      </c>
      <c r="B190" s="23" t="s">
        <v>113</v>
      </c>
      <c r="C190" s="24" t="s">
        <v>18</v>
      </c>
      <c r="D190" s="23"/>
      <c r="E190" s="23" t="s">
        <v>19</v>
      </c>
      <c r="F190" s="23" t="s">
        <v>120</v>
      </c>
      <c r="G190" s="23" t="s">
        <v>142</v>
      </c>
      <c r="H190" s="25">
        <v>0</v>
      </c>
      <c r="I190" s="1"/>
      <c r="J190" s="26"/>
      <c r="K190" s="27">
        <f t="shared" si="5"/>
        <v>0</v>
      </c>
      <c r="L190" s="27"/>
      <c r="M190" s="27"/>
      <c r="N190" s="1">
        <v>4</v>
      </c>
      <c r="O190" s="27">
        <f t="shared" si="6"/>
        <v>4713.3500000000004</v>
      </c>
      <c r="P190" s="27">
        <f>660.75+4052.6</f>
        <v>4713.3500000000004</v>
      </c>
      <c r="Q190" s="27"/>
      <c r="R190" s="20"/>
    </row>
    <row r="191" spans="1:38" s="28" customFormat="1" ht="18.75" customHeight="1">
      <c r="A191" s="24"/>
      <c r="B191" s="23" t="s">
        <v>113</v>
      </c>
      <c r="C191" s="24" t="s">
        <v>18</v>
      </c>
      <c r="D191" s="23"/>
      <c r="E191" s="23" t="s">
        <v>19</v>
      </c>
      <c r="F191" s="23" t="s">
        <v>469</v>
      </c>
      <c r="G191" s="23" t="s">
        <v>122</v>
      </c>
      <c r="H191" s="25">
        <v>38</v>
      </c>
      <c r="I191" s="1">
        <v>16</v>
      </c>
      <c r="J191" s="26">
        <v>17</v>
      </c>
      <c r="K191" s="27">
        <f t="shared" si="5"/>
        <v>54781.25</v>
      </c>
      <c r="L191" s="27">
        <v>54781.25</v>
      </c>
      <c r="M191" s="27"/>
      <c r="N191" s="1">
        <v>21</v>
      </c>
      <c r="O191" s="27">
        <f t="shared" si="6"/>
        <v>97250.559999999998</v>
      </c>
      <c r="P191" s="27">
        <v>97250.559999999998</v>
      </c>
      <c r="Q191" s="27"/>
      <c r="R191" s="20"/>
    </row>
    <row r="192" spans="1:38" ht="20.25" customHeight="1">
      <c r="A192" s="24">
        <v>100</v>
      </c>
      <c r="B192" s="23" t="s">
        <v>114</v>
      </c>
      <c r="C192" s="24" t="s">
        <v>18</v>
      </c>
      <c r="D192" s="23"/>
      <c r="E192" s="23" t="s">
        <v>41</v>
      </c>
      <c r="F192" s="23" t="s">
        <v>443</v>
      </c>
      <c r="G192" s="23" t="s">
        <v>142</v>
      </c>
      <c r="H192" s="25">
        <v>14</v>
      </c>
      <c r="I192" s="1">
        <v>7</v>
      </c>
      <c r="J192" s="26">
        <v>8</v>
      </c>
      <c r="K192" s="27">
        <f t="shared" si="5"/>
        <v>7254.22</v>
      </c>
      <c r="L192" s="27">
        <f>3161.03+2572.52+1520.67</f>
        <v>7254.22</v>
      </c>
      <c r="M192" s="27"/>
      <c r="N192" s="1">
        <v>6</v>
      </c>
      <c r="O192" s="27">
        <f t="shared" si="6"/>
        <v>33166.78</v>
      </c>
      <c r="P192" s="27">
        <f>12416.6+3450+8276.22+5866.19+3157.77</f>
        <v>33166.78</v>
      </c>
      <c r="Q192" s="27"/>
      <c r="R192" s="20"/>
    </row>
    <row r="193" spans="1:44" s="28" customFormat="1" ht="16.899999999999999" customHeight="1">
      <c r="A193" s="24"/>
      <c r="B193" s="23" t="s">
        <v>141</v>
      </c>
      <c r="C193" s="24" t="s">
        <v>18</v>
      </c>
      <c r="D193" s="23"/>
      <c r="E193" s="23" t="s">
        <v>41</v>
      </c>
      <c r="F193" s="23" t="s">
        <v>368</v>
      </c>
      <c r="G193" s="23" t="s">
        <v>136</v>
      </c>
      <c r="H193" s="25">
        <v>16</v>
      </c>
      <c r="I193" s="2">
        <v>8</v>
      </c>
      <c r="J193" s="26">
        <v>8</v>
      </c>
      <c r="K193" s="27">
        <f t="shared" si="5"/>
        <v>25867.96</v>
      </c>
      <c r="L193" s="27">
        <v>25867.96</v>
      </c>
      <c r="M193" s="27"/>
      <c r="N193" s="2">
        <v>7</v>
      </c>
      <c r="O193" s="27">
        <f t="shared" si="6"/>
        <v>29073</v>
      </c>
      <c r="P193" s="27">
        <v>29073</v>
      </c>
      <c r="Q193" s="27"/>
      <c r="R193" s="20"/>
    </row>
    <row r="194" spans="1:44" ht="16.899999999999999" customHeight="1">
      <c r="A194" s="24">
        <v>101</v>
      </c>
      <c r="B194" s="23" t="s">
        <v>309</v>
      </c>
      <c r="C194" s="24" t="s">
        <v>18</v>
      </c>
      <c r="D194" s="23"/>
      <c r="E194" s="23" t="s">
        <v>19</v>
      </c>
      <c r="F194" s="23" t="s">
        <v>442</v>
      </c>
      <c r="G194" s="23" t="s">
        <v>142</v>
      </c>
      <c r="H194" s="25">
        <v>46</v>
      </c>
      <c r="I194" s="2">
        <v>43</v>
      </c>
      <c r="J194" s="26">
        <v>45</v>
      </c>
      <c r="K194" s="27">
        <f t="shared" si="5"/>
        <v>44757.789999999994</v>
      </c>
      <c r="L194" s="27">
        <f>23580.67+7131.45+8912.36+5133.31</f>
        <v>44757.789999999994</v>
      </c>
      <c r="M194" s="27"/>
      <c r="N194" s="2"/>
      <c r="O194" s="27">
        <f t="shared" si="6"/>
        <v>0</v>
      </c>
      <c r="P194" s="27"/>
      <c r="Q194" s="27"/>
      <c r="R194" s="20"/>
    </row>
    <row r="195" spans="1:44" s="28" customFormat="1" ht="16.899999999999999" customHeight="1">
      <c r="A195" s="24"/>
      <c r="B195" s="23" t="s">
        <v>309</v>
      </c>
      <c r="C195" s="24" t="s">
        <v>18</v>
      </c>
      <c r="D195" s="23"/>
      <c r="E195" s="23" t="s">
        <v>19</v>
      </c>
      <c r="F195" s="23" t="s">
        <v>343</v>
      </c>
      <c r="G195" s="23" t="s">
        <v>122</v>
      </c>
      <c r="H195" s="25">
        <v>8</v>
      </c>
      <c r="I195" s="2">
        <v>4</v>
      </c>
      <c r="J195" s="26">
        <v>4</v>
      </c>
      <c r="K195" s="27">
        <f t="shared" si="5"/>
        <v>5651.8</v>
      </c>
      <c r="L195" s="27">
        <v>5651.8</v>
      </c>
      <c r="M195" s="27"/>
      <c r="N195" s="2"/>
      <c r="O195" s="27">
        <f t="shared" si="6"/>
        <v>0</v>
      </c>
      <c r="P195" s="27"/>
      <c r="Q195" s="27"/>
      <c r="R195" s="20"/>
    </row>
    <row r="196" spans="1:44" s="28" customFormat="1" ht="16.899999999999999" customHeight="1">
      <c r="A196" s="24"/>
      <c r="B196" s="23" t="s">
        <v>309</v>
      </c>
      <c r="C196" s="24" t="s">
        <v>18</v>
      </c>
      <c r="D196" s="23"/>
      <c r="E196" s="23" t="s">
        <v>19</v>
      </c>
      <c r="F196" s="23" t="s">
        <v>324</v>
      </c>
      <c r="G196" s="23" t="s">
        <v>124</v>
      </c>
      <c r="H196" s="25">
        <v>1</v>
      </c>
      <c r="I196" s="2"/>
      <c r="J196" s="26"/>
      <c r="K196" s="27">
        <f t="shared" si="5"/>
        <v>0</v>
      </c>
      <c r="L196" s="27"/>
      <c r="M196" s="27"/>
      <c r="N196" s="2"/>
      <c r="O196" s="27">
        <f t="shared" si="6"/>
        <v>0</v>
      </c>
      <c r="P196" s="27"/>
      <c r="Q196" s="27"/>
      <c r="R196" s="20"/>
    </row>
    <row r="197" spans="1:44" ht="24.6" customHeight="1">
      <c r="A197" s="29">
        <v>102</v>
      </c>
      <c r="B197" s="30" t="s">
        <v>115</v>
      </c>
      <c r="C197" s="29" t="s">
        <v>52</v>
      </c>
      <c r="D197" s="30" t="s">
        <v>110</v>
      </c>
      <c r="E197" s="30" t="s">
        <v>19</v>
      </c>
      <c r="F197" s="30"/>
      <c r="G197" s="30" t="s">
        <v>142</v>
      </c>
      <c r="H197" s="25">
        <v>0</v>
      </c>
      <c r="I197" s="1"/>
      <c r="J197" s="26"/>
      <c r="K197" s="27">
        <f t="shared" si="5"/>
        <v>0</v>
      </c>
      <c r="L197" s="27"/>
      <c r="M197" s="27"/>
      <c r="N197" s="1">
        <v>1</v>
      </c>
      <c r="O197" s="27">
        <f t="shared" si="6"/>
        <v>0</v>
      </c>
      <c r="P197" s="27"/>
      <c r="Q197" s="27"/>
      <c r="R197" s="20"/>
    </row>
    <row r="198" spans="1:44" s="28" customFormat="1" ht="32.25" customHeight="1">
      <c r="A198" s="29"/>
      <c r="B198" s="30" t="s">
        <v>115</v>
      </c>
      <c r="C198" s="29" t="s">
        <v>52</v>
      </c>
      <c r="D198" s="30" t="s">
        <v>110</v>
      </c>
      <c r="E198" s="30" t="s">
        <v>19</v>
      </c>
      <c r="F198" s="30" t="s">
        <v>292</v>
      </c>
      <c r="G198" s="30" t="s">
        <v>122</v>
      </c>
      <c r="H198" s="25">
        <v>0</v>
      </c>
      <c r="I198" s="1"/>
      <c r="J198" s="44"/>
      <c r="K198" s="27">
        <f t="shared" si="5"/>
        <v>0</v>
      </c>
      <c r="L198" s="27"/>
      <c r="M198" s="27"/>
      <c r="N198" s="1">
        <v>1</v>
      </c>
      <c r="O198" s="27">
        <f t="shared" si="6"/>
        <v>0</v>
      </c>
      <c r="P198" s="27"/>
      <c r="Q198" s="27"/>
      <c r="R198" s="20"/>
    </row>
    <row r="199" spans="1:44" ht="34.9" customHeight="1">
      <c r="A199" s="29">
        <v>103</v>
      </c>
      <c r="B199" s="30" t="s">
        <v>116</v>
      </c>
      <c r="C199" s="29" t="s">
        <v>52</v>
      </c>
      <c r="D199" s="30" t="s">
        <v>117</v>
      </c>
      <c r="E199" s="30" t="s">
        <v>19</v>
      </c>
      <c r="F199" s="30" t="s">
        <v>444</v>
      </c>
      <c r="G199" s="30" t="s">
        <v>142</v>
      </c>
      <c r="H199" s="25">
        <v>63</v>
      </c>
      <c r="I199" s="1">
        <v>46</v>
      </c>
      <c r="J199" s="44">
        <v>48</v>
      </c>
      <c r="K199" s="27">
        <f t="shared" si="5"/>
        <v>58345.89</v>
      </c>
      <c r="L199" s="27">
        <f>39374.14+5156.08+7431.64+6384.03</f>
        <v>58345.89</v>
      </c>
      <c r="M199" s="27"/>
      <c r="N199" s="1">
        <v>5</v>
      </c>
      <c r="O199" s="27">
        <f t="shared" si="6"/>
        <v>34367.43</v>
      </c>
      <c r="P199" s="27">
        <f>23453.46+1317.98+1317.98+6900.94+1377.07</f>
        <v>34367.43</v>
      </c>
      <c r="Q199" s="27"/>
      <c r="R199" s="20"/>
    </row>
    <row r="200" spans="1:44" ht="28.5" customHeight="1">
      <c r="A200" s="29">
        <v>104</v>
      </c>
      <c r="B200" s="30" t="s">
        <v>209</v>
      </c>
      <c r="C200" s="29" t="s">
        <v>18</v>
      </c>
      <c r="D200" s="30"/>
      <c r="E200" s="30" t="s">
        <v>19</v>
      </c>
      <c r="F200" s="30" t="s">
        <v>123</v>
      </c>
      <c r="G200" s="30" t="s">
        <v>142</v>
      </c>
      <c r="H200" s="25">
        <v>0</v>
      </c>
      <c r="I200" s="1"/>
      <c r="J200" s="44"/>
      <c r="K200" s="27">
        <f t="shared" si="5"/>
        <v>0</v>
      </c>
      <c r="L200" s="27"/>
      <c r="M200" s="27"/>
      <c r="N200" s="1"/>
      <c r="O200" s="27">
        <f t="shared" si="6"/>
        <v>0</v>
      </c>
      <c r="P200" s="27"/>
      <c r="Q200" s="27"/>
      <c r="R200" s="20"/>
    </row>
    <row r="201" spans="1:44" ht="19.5" customHeight="1">
      <c r="A201" s="29">
        <v>105</v>
      </c>
      <c r="B201" s="30" t="s">
        <v>118</v>
      </c>
      <c r="C201" s="29" t="s">
        <v>18</v>
      </c>
      <c r="D201" s="30"/>
      <c r="E201" s="30" t="s">
        <v>41</v>
      </c>
      <c r="F201" s="30" t="s">
        <v>445</v>
      </c>
      <c r="G201" s="30" t="s">
        <v>142</v>
      </c>
      <c r="H201" s="25">
        <v>35</v>
      </c>
      <c r="I201" s="1">
        <v>17</v>
      </c>
      <c r="J201" s="44">
        <v>19</v>
      </c>
      <c r="K201" s="27">
        <f t="shared" si="5"/>
        <v>22205.18</v>
      </c>
      <c r="L201" s="27">
        <f>10009.78+3022.72+9172.68</f>
        <v>22205.18</v>
      </c>
      <c r="M201" s="27"/>
      <c r="N201" s="1">
        <v>26</v>
      </c>
      <c r="O201" s="27">
        <f t="shared" si="6"/>
        <v>68526.17</v>
      </c>
      <c r="P201" s="27">
        <f>33365.57+2652.02+5863.94+845.76+3982.56+21816.32</f>
        <v>68526.17</v>
      </c>
      <c r="Q201" s="27"/>
      <c r="R201" s="20"/>
    </row>
    <row r="202" spans="1:44" s="28" customFormat="1" ht="30.6" customHeight="1">
      <c r="A202" s="24"/>
      <c r="B202" s="23" t="s">
        <v>118</v>
      </c>
      <c r="C202" s="24" t="s">
        <v>18</v>
      </c>
      <c r="D202" s="23"/>
      <c r="E202" s="23" t="s">
        <v>41</v>
      </c>
      <c r="F202" s="23" t="s">
        <v>298</v>
      </c>
      <c r="G202" s="23" t="s">
        <v>124</v>
      </c>
      <c r="H202" s="25">
        <v>0</v>
      </c>
      <c r="I202" s="1"/>
      <c r="J202" s="44"/>
      <c r="K202" s="27">
        <f t="shared" si="5"/>
        <v>0</v>
      </c>
      <c r="L202" s="27"/>
      <c r="M202" s="27"/>
      <c r="N202" s="1">
        <v>1</v>
      </c>
      <c r="O202" s="27">
        <f t="shared" si="6"/>
        <v>5462.2</v>
      </c>
      <c r="P202" s="27">
        <v>5462.2</v>
      </c>
      <c r="Q202" s="27"/>
      <c r="R202" s="20"/>
    </row>
    <row r="203" spans="1:44" s="28" customFormat="1" ht="27" customHeight="1">
      <c r="A203" s="24"/>
      <c r="B203" s="23" t="s">
        <v>118</v>
      </c>
      <c r="C203" s="24" t="s">
        <v>18</v>
      </c>
      <c r="D203" s="23"/>
      <c r="E203" s="23" t="s">
        <v>41</v>
      </c>
      <c r="F203" s="23" t="s">
        <v>123</v>
      </c>
      <c r="G203" s="23" t="s">
        <v>136</v>
      </c>
      <c r="H203" s="25">
        <v>0</v>
      </c>
      <c r="I203" s="2"/>
      <c r="J203" s="26"/>
      <c r="K203" s="27">
        <f t="shared" si="5"/>
        <v>0</v>
      </c>
      <c r="L203" s="27"/>
      <c r="M203" s="27"/>
      <c r="N203" s="2"/>
      <c r="O203" s="27">
        <f t="shared" si="6"/>
        <v>0</v>
      </c>
      <c r="P203" s="27"/>
      <c r="Q203" s="27"/>
      <c r="R203" s="20"/>
    </row>
    <row r="204" spans="1:44" s="28" customFormat="1" ht="27" customHeight="1">
      <c r="A204" s="53">
        <v>106</v>
      </c>
      <c r="B204" s="54" t="s">
        <v>495</v>
      </c>
      <c r="C204" s="53" t="s">
        <v>18</v>
      </c>
      <c r="D204" s="54"/>
      <c r="E204" s="54" t="s">
        <v>50</v>
      </c>
      <c r="F204" s="54" t="s">
        <v>496</v>
      </c>
      <c r="G204" s="54" t="s">
        <v>142</v>
      </c>
      <c r="H204" s="55">
        <v>2</v>
      </c>
      <c r="I204" s="56"/>
      <c r="J204" s="57"/>
      <c r="K204" s="27">
        <f t="shared" si="5"/>
        <v>0</v>
      </c>
      <c r="L204" s="58"/>
      <c r="M204" s="58"/>
      <c r="N204" s="56"/>
      <c r="O204" s="27">
        <f t="shared" si="6"/>
        <v>0</v>
      </c>
      <c r="P204" s="58"/>
      <c r="Q204" s="58"/>
      <c r="R204" s="20"/>
    </row>
    <row r="205" spans="1:44" s="28" customFormat="1" ht="27" customHeight="1">
      <c r="A205" s="53"/>
      <c r="B205" s="54" t="s">
        <v>489</v>
      </c>
      <c r="C205" s="53" t="s">
        <v>18</v>
      </c>
      <c r="D205" s="54"/>
      <c r="E205" s="54" t="s">
        <v>50</v>
      </c>
      <c r="F205" s="54" t="s">
        <v>497</v>
      </c>
      <c r="G205" s="54" t="s">
        <v>122</v>
      </c>
      <c r="H205" s="55">
        <v>1</v>
      </c>
      <c r="I205" s="56"/>
      <c r="J205" s="57"/>
      <c r="K205" s="27">
        <f t="shared" si="5"/>
        <v>0</v>
      </c>
      <c r="L205" s="58"/>
      <c r="M205" s="58"/>
      <c r="N205" s="56"/>
      <c r="O205" s="27">
        <f t="shared" si="6"/>
        <v>0</v>
      </c>
      <c r="P205" s="58"/>
      <c r="Q205" s="58"/>
      <c r="R205" s="20"/>
    </row>
    <row r="206" spans="1:44" s="28" customFormat="1" ht="27" customHeight="1">
      <c r="A206" s="53"/>
      <c r="B206" s="54" t="s">
        <v>489</v>
      </c>
      <c r="C206" s="53" t="s">
        <v>18</v>
      </c>
      <c r="D206" s="54"/>
      <c r="E206" s="54" t="s">
        <v>50</v>
      </c>
      <c r="F206" s="54" t="s">
        <v>490</v>
      </c>
      <c r="G206" s="54" t="s">
        <v>124</v>
      </c>
      <c r="H206" s="55">
        <v>10</v>
      </c>
      <c r="I206" s="56">
        <v>2</v>
      </c>
      <c r="J206" s="57">
        <v>2</v>
      </c>
      <c r="K206" s="27">
        <f t="shared" si="5"/>
        <v>4154.2000000000007</v>
      </c>
      <c r="L206" s="58">
        <v>4154.2000000000007</v>
      </c>
      <c r="M206" s="58"/>
      <c r="N206" s="56"/>
      <c r="O206" s="27">
        <f t="shared" ref="O206" si="7">P206+Q206</f>
        <v>0</v>
      </c>
      <c r="P206" s="58"/>
      <c r="Q206" s="58"/>
      <c r="R206" s="20"/>
    </row>
    <row r="207" spans="1:44" s="14" customFormat="1" ht="27" customHeight="1">
      <c r="A207" s="46">
        <v>107</v>
      </c>
      <c r="B207" s="60" t="s">
        <v>325</v>
      </c>
      <c r="C207" s="46" t="s">
        <v>18</v>
      </c>
      <c r="D207" s="60"/>
      <c r="E207" s="60" t="s">
        <v>36</v>
      </c>
      <c r="F207" s="60" t="s">
        <v>446</v>
      </c>
      <c r="G207" s="60" t="s">
        <v>142</v>
      </c>
      <c r="H207" s="61">
        <v>13</v>
      </c>
      <c r="I207" s="32">
        <v>8</v>
      </c>
      <c r="J207" s="86">
        <v>9</v>
      </c>
      <c r="K207" s="27">
        <f t="shared" ref="K207:K209" si="8">L207+M207</f>
        <v>14298.95</v>
      </c>
      <c r="L207" s="63">
        <f>4320.42+7973.69+1002.42+1002.42</f>
        <v>14298.95</v>
      </c>
      <c r="M207" s="63"/>
      <c r="N207" s="32"/>
      <c r="O207" s="27">
        <f t="shared" ref="O207:O209" si="9">P207+Q207</f>
        <v>0</v>
      </c>
      <c r="P207" s="63"/>
      <c r="Q207" s="63"/>
      <c r="R207" s="20"/>
      <c r="AM207" s="4"/>
      <c r="AN207" s="4"/>
      <c r="AO207" s="4"/>
      <c r="AP207" s="4"/>
      <c r="AQ207" s="4"/>
      <c r="AR207" s="4"/>
    </row>
    <row r="208" spans="1:44" s="28" customFormat="1" ht="27" customHeight="1">
      <c r="A208" s="46"/>
      <c r="B208" s="23" t="s">
        <v>325</v>
      </c>
      <c r="C208" s="24" t="s">
        <v>18</v>
      </c>
      <c r="D208" s="23"/>
      <c r="E208" s="23" t="s">
        <v>36</v>
      </c>
      <c r="F208" s="23" t="s">
        <v>369</v>
      </c>
      <c r="G208" s="23" t="s">
        <v>124</v>
      </c>
      <c r="H208" s="25">
        <v>4</v>
      </c>
      <c r="I208" s="2"/>
      <c r="J208" s="26"/>
      <c r="K208" s="27">
        <f t="shared" si="8"/>
        <v>0</v>
      </c>
      <c r="L208" s="27"/>
      <c r="M208" s="27"/>
      <c r="N208" s="2"/>
      <c r="O208" s="27">
        <f t="shared" si="9"/>
        <v>0</v>
      </c>
      <c r="P208" s="27"/>
      <c r="Q208" s="27"/>
      <c r="R208" s="20"/>
    </row>
    <row r="209" spans="1:44" s="28" customFormat="1" ht="18.75" customHeight="1" thickBot="1">
      <c r="A209" s="47"/>
      <c r="B209" s="48" t="s">
        <v>325</v>
      </c>
      <c r="C209" s="49" t="s">
        <v>18</v>
      </c>
      <c r="D209" s="48"/>
      <c r="E209" s="48" t="s">
        <v>370</v>
      </c>
      <c r="F209" s="48" t="s">
        <v>371</v>
      </c>
      <c r="G209" s="48" t="s">
        <v>136</v>
      </c>
      <c r="H209" s="50">
        <v>3</v>
      </c>
      <c r="I209" s="33">
        <v>2</v>
      </c>
      <c r="J209" s="51">
        <v>2</v>
      </c>
      <c r="K209" s="27">
        <f t="shared" si="8"/>
        <v>1841</v>
      </c>
      <c r="L209" s="52">
        <v>1841</v>
      </c>
      <c r="M209" s="52"/>
      <c r="N209" s="33"/>
      <c r="O209" s="27">
        <f t="shared" si="9"/>
        <v>0</v>
      </c>
      <c r="P209" s="52"/>
      <c r="Q209" s="52"/>
      <c r="R209" s="20"/>
    </row>
    <row r="210" spans="1:44" s="14" customFormat="1" ht="16.5" customHeight="1">
      <c r="A210" s="87" t="s">
        <v>145</v>
      </c>
      <c r="B210" s="87"/>
      <c r="C210" s="88"/>
      <c r="D210" s="89"/>
      <c r="E210" s="89"/>
      <c r="F210" s="89"/>
      <c r="G210" s="89"/>
      <c r="H210" s="88">
        <f>SUM(H10:H209)</f>
        <v>3907</v>
      </c>
      <c r="I210" s="88">
        <f>SUM(I10:I209)</f>
        <v>2286</v>
      </c>
      <c r="J210" s="88">
        <f>SUM(J10:J209)</f>
        <v>2525</v>
      </c>
      <c r="K210" s="90">
        <f>SUM(K10:K209)</f>
        <v>3190655.41</v>
      </c>
      <c r="L210" s="90">
        <f t="shared" ref="L210:M210" si="10">SUM(L10:L209)</f>
        <v>3190655.41</v>
      </c>
      <c r="M210" s="88">
        <f t="shared" si="10"/>
        <v>0</v>
      </c>
      <c r="N210" s="88">
        <f>SUM(N10:N209)</f>
        <v>1307</v>
      </c>
      <c r="O210" s="90">
        <f>SUM(O10:O209)</f>
        <v>4473080.71</v>
      </c>
      <c r="P210" s="90">
        <f>SUM(P10:P209)</f>
        <v>4473080.71</v>
      </c>
      <c r="Q210" s="90">
        <f>SUM(Q10:Q209)</f>
        <v>0</v>
      </c>
      <c r="R210" s="20"/>
      <c r="AM210" s="4"/>
      <c r="AN210" s="4"/>
      <c r="AO210" s="4"/>
      <c r="AP210" s="4"/>
      <c r="AQ210" s="4"/>
      <c r="AR210" s="4"/>
    </row>
    <row r="211" spans="1:44" s="14" customFormat="1" ht="15" customHeight="1">
      <c r="A211" s="5"/>
      <c r="B211" s="6"/>
      <c r="C211" s="5"/>
      <c r="D211" s="6"/>
      <c r="E211" s="6"/>
      <c r="F211" s="6"/>
      <c r="G211" s="6"/>
      <c r="H211" s="9"/>
      <c r="I211" s="9"/>
      <c r="J211" s="9"/>
      <c r="K211" s="9"/>
      <c r="L211" s="9"/>
      <c r="M211" s="11"/>
      <c r="N211" s="9"/>
      <c r="O211" s="9"/>
      <c r="P211" s="5"/>
      <c r="Q211" s="13"/>
      <c r="R211" s="20"/>
      <c r="AM211" s="4"/>
      <c r="AN211" s="4"/>
      <c r="AO211" s="4"/>
      <c r="AP211" s="4"/>
      <c r="AQ211" s="4"/>
      <c r="AR211" s="4"/>
    </row>
    <row r="212" spans="1:44" s="14" customForma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12"/>
      <c r="N212" s="4"/>
      <c r="O212" s="4"/>
      <c r="P212" s="4"/>
      <c r="Q212" s="12"/>
      <c r="R212" s="20"/>
      <c r="AM212" s="4"/>
      <c r="AN212" s="4"/>
      <c r="AO212" s="4"/>
      <c r="AP212" s="4"/>
      <c r="AQ212" s="4"/>
      <c r="AR212" s="4"/>
    </row>
    <row r="213" spans="1:44" s="14" customFormat="1" hidden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>
        <f>K10+K12+K14+K16+K18+K19+K20+K23+K28+K29+K31+K34+K36+K38+K40+K42+K44+K46+K48+K50+K52+K54+K55+K59+K60+K61+K62+K63+K65+K67+K68+K70+K72+K73+K75+K79+K81+K83+K85+K87+K89+K94+K97+K98+K99+K101+K103+K104+K105+K108++K111+K114+K117+K120+K121+K123+K126+K127+K129+K131+K133+K135+K137+K139+K141+K143+K144+K146+K149+K152+K155+K159+K160+K161+K162+K164+K165+K166+K168+K171+K176+K177+K179+K180+K182+K184+K185+K187+K190+K192+K194+K197+K199+K200+K201+K204+K207</f>
        <v>2252118.9700000007</v>
      </c>
      <c r="L213" s="15">
        <f>L10+L12+L14+L16+L18+L19+L20+L23+L28+L29+L31+L34+L36+L38+L40+L42+L44+L46+L48+L50+L52+L54+L55+L59+L60+L61+L62+L63+L65+L67+L68+L70+L72+L73+L75+L79+L81+L83+L85+L87+L89+L94+L97+L98+L99+L101+L103+L104+L105+L108++L111+L114+L117+L120+L121+L123+L126+L127+L129+L131+L133+L135+L137+L139+L141+L143+L144+L146+L149+L152+L155+L159+L160+L161+L162+L164+L165+L166+L168+L171+L176+L177+L179+L180+L182+L184+L185+L187+L190+L192+L194+L197+L199+L200+L201+L204+L207</f>
        <v>2252118.9700000007</v>
      </c>
      <c r="M213" s="15">
        <f t="shared" ref="M213:Q213" si="11">M10+M12+M14+M16+M18+M19+M20+M23+M28+M29+M31+M34+M36+M38+M40+M42+M44+M46+M48+M50+M52+M54+M55+M59+M60+M61+M62+M63+M65+M67+M68+M70+M72+M73+M75+M79+M81+M83+M85+M87+M89+M94+M97+M98+M99+M101+M103+M104+M105+M108++M111+M114+M117+M120+M121+M123+M126+M127+M129+M131+M133+M135+M137+M139+M141+M143+M144+M146+M149+M152+M155+M159+M160+M161+M162+M164+M165+M166+M168+M171+M176+M177+M179+M180+M182+M184+M185+M187+M190+M192+M194+M197+M199+M200+M201+M204+M207</f>
        <v>0</v>
      </c>
      <c r="N213" s="15"/>
      <c r="O213" s="15">
        <f t="shared" si="11"/>
        <v>3270571.3099999991</v>
      </c>
      <c r="P213" s="15">
        <f t="shared" si="11"/>
        <v>3270571.3099999991</v>
      </c>
      <c r="Q213" s="15">
        <f t="shared" si="11"/>
        <v>0</v>
      </c>
      <c r="AM213" s="4"/>
      <c r="AN213" s="4"/>
      <c r="AO213" s="4"/>
      <c r="AP213" s="4"/>
      <c r="AQ213" s="4"/>
      <c r="AR213" s="4"/>
    </row>
    <row r="214" spans="1:44" s="14" customFormat="1" hidden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15"/>
      <c r="M214" s="12"/>
      <c r="N214" s="15"/>
      <c r="O214" s="15"/>
      <c r="P214" s="4"/>
      <c r="Q214" s="12"/>
      <c r="AM214" s="4"/>
      <c r="AN214" s="4"/>
      <c r="AO214" s="4"/>
      <c r="AP214" s="4"/>
      <c r="AQ214" s="4"/>
      <c r="AR214" s="4"/>
    </row>
    <row r="215" spans="1:44" s="14" customFormat="1" hidden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15"/>
      <c r="M215" s="15"/>
      <c r="N215" s="15"/>
      <c r="O215" s="15"/>
      <c r="P215" s="15"/>
      <c r="Q215" s="19"/>
      <c r="S215" s="20"/>
      <c r="AM215" s="4"/>
      <c r="AN215" s="4"/>
      <c r="AO215" s="4"/>
      <c r="AP215" s="4"/>
      <c r="AQ215" s="4"/>
      <c r="AR215" s="4"/>
    </row>
    <row r="216" spans="1:44" s="14" customFormat="1" hidden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15"/>
      <c r="M216" s="15">
        <f>M213+Q213</f>
        <v>0</v>
      </c>
      <c r="N216" s="15">
        <v>1694872.64</v>
      </c>
      <c r="O216" s="15">
        <f>M216-N216</f>
        <v>-1694872.64</v>
      </c>
      <c r="P216" s="15"/>
      <c r="Q216" s="19"/>
      <c r="AM216" s="4"/>
      <c r="AN216" s="4"/>
      <c r="AO216" s="4"/>
      <c r="AP216" s="4"/>
      <c r="AQ216" s="4"/>
      <c r="AR216" s="4"/>
    </row>
    <row r="217" spans="1:44" s="14" customFormat="1" hidden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15"/>
      <c r="L217" s="15">
        <f>K213+O213</f>
        <v>5522690.2799999993</v>
      </c>
      <c r="M217" s="15"/>
      <c r="N217" s="15"/>
      <c r="O217" s="15"/>
      <c r="P217" s="15"/>
      <c r="Q217" s="19"/>
      <c r="AM217" s="4"/>
      <c r="AN217" s="4"/>
      <c r="AO217" s="4"/>
      <c r="AP217" s="4"/>
      <c r="AQ217" s="4"/>
      <c r="AR217" s="4"/>
    </row>
    <row r="218" spans="1:44" s="14" customFormat="1" hidden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15"/>
      <c r="L218" s="15"/>
      <c r="M218" s="15"/>
      <c r="N218" s="15"/>
      <c r="O218" s="15"/>
      <c r="P218" s="15"/>
      <c r="Q218" s="19"/>
      <c r="AM218" s="4"/>
      <c r="AN218" s="4"/>
      <c r="AO218" s="4"/>
      <c r="AP218" s="4"/>
      <c r="AQ218" s="4"/>
      <c r="AR218" s="4"/>
    </row>
    <row r="219" spans="1:44" hidden="1">
      <c r="K219" s="15"/>
      <c r="L219" s="15"/>
      <c r="M219" s="15"/>
      <c r="N219" s="15"/>
      <c r="O219" s="15"/>
      <c r="P219" s="15"/>
      <c r="Q219" s="19"/>
      <c r="S219" s="20"/>
    </row>
    <row r="220" spans="1:44" hidden="1">
      <c r="K220" s="15">
        <f>L217-L220</f>
        <v>-300.27000000048429</v>
      </c>
      <c r="L220" s="4">
        <v>5522990.5499999998</v>
      </c>
    </row>
    <row r="221" spans="1:44">
      <c r="K221" s="15"/>
      <c r="O221" s="15"/>
      <c r="P221" s="15"/>
    </row>
    <row r="224" spans="1:44">
      <c r="O224" s="15"/>
    </row>
    <row r="225" spans="1:44" s="12" customForma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15"/>
      <c r="N225" s="4"/>
      <c r="O225" s="4"/>
      <c r="P225" s="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4"/>
      <c r="AN225" s="4"/>
      <c r="AO225" s="4"/>
      <c r="AP225" s="4"/>
      <c r="AQ225" s="4"/>
      <c r="AR225" s="4"/>
    </row>
  </sheetData>
  <mergeCells count="8">
    <mergeCell ref="A210:B21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R194"/>
  <sheetViews>
    <sheetView topLeftCell="A138" zoomScale="90" zoomScaleNormal="90" workbookViewId="0">
      <selection activeCell="F138" sqref="A7:Q179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4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5</v>
      </c>
      <c r="I11" s="1"/>
      <c r="J11" s="26"/>
      <c r="K11" s="27">
        <f t="shared" ref="K11:K77" si="2">L11+M11</f>
        <v>0</v>
      </c>
      <c r="L11" s="27"/>
      <c r="M11" s="27"/>
      <c r="N11" s="1">
        <v>5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4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292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4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268</v>
      </c>
      <c r="G15" s="23" t="s">
        <v>136</v>
      </c>
      <c r="H15" s="25">
        <v>3</v>
      </c>
      <c r="I15" s="2"/>
      <c r="J15" s="26"/>
      <c r="K15" s="27">
        <f t="shared" si="2"/>
        <v>0</v>
      </c>
      <c r="L15" s="27"/>
      <c r="M15" s="27"/>
      <c r="N15" s="2">
        <v>9</v>
      </c>
      <c r="O15" s="27">
        <f t="shared" si="1"/>
        <v>0</v>
      </c>
      <c r="P15" s="27"/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8</v>
      </c>
      <c r="I16" s="1">
        <v>5</v>
      </c>
      <c r="J16" s="26">
        <v>5</v>
      </c>
      <c r="K16" s="27">
        <f t="shared" si="2"/>
        <v>0</v>
      </c>
      <c r="L16" s="27"/>
      <c r="M16" s="27"/>
      <c r="N16" s="1">
        <v>8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4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8</v>
      </c>
      <c r="I20" s="1"/>
      <c r="J20" s="26"/>
      <c r="K20" s="27">
        <f t="shared" si="2"/>
        <v>0</v>
      </c>
      <c r="L20" s="27"/>
      <c r="M20" s="27"/>
      <c r="N20" s="1">
        <v>6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292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1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4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3</v>
      </c>
      <c r="I27" s="1"/>
      <c r="J27" s="44"/>
      <c r="K27" s="27">
        <f t="shared" si="2"/>
        <v>0</v>
      </c>
      <c r="L27" s="27"/>
      <c r="M27" s="27"/>
      <c r="N27" s="1">
        <v>2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/>
      <c r="L28" s="27"/>
      <c r="M28" s="27"/>
      <c r="N28" s="1"/>
      <c r="O28" s="27"/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5</v>
      </c>
      <c r="I29" s="1"/>
      <c r="J29" s="26"/>
      <c r="K29" s="27">
        <f t="shared" si="2"/>
        <v>0</v>
      </c>
      <c r="L29" s="27"/>
      <c r="M29" s="27"/>
      <c r="N29" s="1">
        <v>2</v>
      </c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123</v>
      </c>
      <c r="G31" s="23" t="s">
        <v>136</v>
      </c>
      <c r="H31" s="25">
        <v>5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6</v>
      </c>
      <c r="I32" s="1">
        <v>5</v>
      </c>
      <c r="J32" s="26">
        <v>5</v>
      </c>
      <c r="K32" s="27">
        <f t="shared" si="2"/>
        <v>0</v>
      </c>
      <c r="L32" s="27"/>
      <c r="M32" s="27"/>
      <c r="N32" s="1">
        <v>5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292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3</v>
      </c>
      <c r="I35" s="1"/>
      <c r="J35" s="26"/>
      <c r="K35" s="27">
        <f t="shared" si="2"/>
        <v>0</v>
      </c>
      <c r="L35" s="27"/>
      <c r="M35" s="27"/>
      <c r="N35" s="1">
        <v>3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292</v>
      </c>
      <c r="G37" s="23" t="s">
        <v>136</v>
      </c>
      <c r="H37" s="25">
        <v>2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1</v>
      </c>
      <c r="I38" s="1"/>
      <c r="J38" s="26"/>
      <c r="K38" s="27">
        <f t="shared" si="2"/>
        <v>0</v>
      </c>
      <c r="L38" s="27"/>
      <c r="M38" s="27"/>
      <c r="N38" s="1">
        <v>6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123</v>
      </c>
      <c r="G39" s="23" t="s">
        <v>136</v>
      </c>
      <c r="H39" s="25">
        <v>9</v>
      </c>
      <c r="I39" s="2"/>
      <c r="J39" s="26"/>
      <c r="K39" s="27">
        <f t="shared" si="2"/>
        <v>0</v>
      </c>
      <c r="L39" s="27"/>
      <c r="M39" s="27"/>
      <c r="N39" s="2">
        <v>2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1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3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0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2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294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/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120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 ht="13.9" customHeight="1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268</v>
      </c>
      <c r="G48" s="23" t="s">
        <v>142</v>
      </c>
      <c r="H48" s="25">
        <v>1</v>
      </c>
      <c r="I48" s="1"/>
      <c r="J48" s="26"/>
      <c r="K48" s="27"/>
      <c r="L48" s="27"/>
      <c r="M48" s="27"/>
      <c r="N48" s="1"/>
      <c r="O48" s="27"/>
      <c r="P48" s="27"/>
      <c r="Q48" s="27"/>
      <c r="R48" s="20"/>
    </row>
    <row r="49" spans="1:38" ht="15" customHeight="1">
      <c r="A49" s="24">
        <v>21</v>
      </c>
      <c r="B49" s="23" t="s">
        <v>48</v>
      </c>
      <c r="C49" s="24" t="s">
        <v>18</v>
      </c>
      <c r="D49" s="23"/>
      <c r="E49" s="23" t="s">
        <v>19</v>
      </c>
      <c r="F49" s="23" t="s">
        <v>295</v>
      </c>
      <c r="G49" s="23" t="s">
        <v>142</v>
      </c>
      <c r="H49" s="25">
        <v>4</v>
      </c>
      <c r="I49" s="1">
        <v>2</v>
      </c>
      <c r="J49" s="26">
        <v>2</v>
      </c>
      <c r="K49" s="27">
        <f t="shared" si="2"/>
        <v>0</v>
      </c>
      <c r="L49" s="27"/>
      <c r="M49" s="27"/>
      <c r="N49" s="1">
        <v>4</v>
      </c>
      <c r="O49" s="27">
        <f t="shared" si="1"/>
        <v>0</v>
      </c>
      <c r="P49" s="27"/>
      <c r="Q49" s="27"/>
      <c r="R49" s="20"/>
    </row>
    <row r="50" spans="1:38" ht="15" customHeight="1">
      <c r="A50" s="24"/>
      <c r="B50" s="23" t="s">
        <v>48</v>
      </c>
      <c r="C50" s="24" t="s">
        <v>18</v>
      </c>
      <c r="D50" s="23"/>
      <c r="E50" s="23" t="s">
        <v>19</v>
      </c>
      <c r="F50" s="23" t="s">
        <v>120</v>
      </c>
      <c r="G50" s="23" t="s">
        <v>122</v>
      </c>
      <c r="H50" s="25">
        <v>0</v>
      </c>
      <c r="I50" s="1"/>
      <c r="J50" s="26"/>
      <c r="K50" s="27">
        <f t="shared" si="2"/>
        <v>0</v>
      </c>
      <c r="L50" s="27"/>
      <c r="M50" s="27"/>
      <c r="N50" s="1"/>
      <c r="O50" s="27">
        <f t="shared" si="1"/>
        <v>0</v>
      </c>
      <c r="P50" s="27"/>
      <c r="Q50" s="27"/>
      <c r="R50" s="20"/>
    </row>
    <row r="51" spans="1:38" ht="15" customHeight="1">
      <c r="A51" s="24">
        <v>22</v>
      </c>
      <c r="B51" s="23" t="s">
        <v>49</v>
      </c>
      <c r="C51" s="24" t="s">
        <v>18</v>
      </c>
      <c r="D51" s="23"/>
      <c r="E51" s="23" t="s">
        <v>19</v>
      </c>
      <c r="F51" s="23" t="s">
        <v>120</v>
      </c>
      <c r="G51" s="23" t="s">
        <v>142</v>
      </c>
      <c r="H51" s="25">
        <v>4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s="7" customFormat="1" ht="15" customHeight="1">
      <c r="A52" s="24">
        <v>23</v>
      </c>
      <c r="B52" s="23" t="s">
        <v>138</v>
      </c>
      <c r="C52" s="24" t="s">
        <v>18</v>
      </c>
      <c r="D52" s="23"/>
      <c r="E52" s="23" t="s">
        <v>34</v>
      </c>
      <c r="F52" s="23" t="s">
        <v>292</v>
      </c>
      <c r="G52" s="23" t="s">
        <v>142</v>
      </c>
      <c r="H52" s="25">
        <v>0</v>
      </c>
      <c r="I52" s="1"/>
      <c r="J52" s="26"/>
      <c r="K52" s="27">
        <f t="shared" si="2"/>
        <v>0</v>
      </c>
      <c r="L52" s="27"/>
      <c r="M52" s="27"/>
      <c r="N52" s="1">
        <v>1</v>
      </c>
      <c r="O52" s="27">
        <f t="shared" si="1"/>
        <v>0</v>
      </c>
      <c r="P52" s="27"/>
      <c r="Q52" s="27"/>
      <c r="R52" s="20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</row>
    <row r="53" spans="1:38" ht="15" customHeight="1">
      <c r="A53" s="24"/>
      <c r="B53" s="23" t="s">
        <v>138</v>
      </c>
      <c r="C53" s="24" t="s">
        <v>18</v>
      </c>
      <c r="D53" s="23"/>
      <c r="E53" s="23" t="s">
        <v>34</v>
      </c>
      <c r="F53" s="23" t="s">
        <v>268</v>
      </c>
      <c r="G53" s="23" t="s">
        <v>136</v>
      </c>
      <c r="H53" s="25">
        <v>3</v>
      </c>
      <c r="I53" s="2"/>
      <c r="J53" s="26"/>
      <c r="K53" s="27">
        <f t="shared" si="2"/>
        <v>0</v>
      </c>
      <c r="L53" s="27"/>
      <c r="M53" s="27"/>
      <c r="N53" s="2"/>
      <c r="O53" s="27">
        <f t="shared" si="1"/>
        <v>0</v>
      </c>
      <c r="P53" s="27"/>
      <c r="Q53" s="27"/>
      <c r="R53" s="20"/>
    </row>
    <row r="54" spans="1:38" s="8" customFormat="1">
      <c r="A54" s="78">
        <v>24</v>
      </c>
      <c r="B54" s="79" t="s">
        <v>147</v>
      </c>
      <c r="C54" s="80" t="s">
        <v>18</v>
      </c>
      <c r="D54" s="79"/>
      <c r="E54" s="79" t="s">
        <v>50</v>
      </c>
      <c r="F54" s="79"/>
      <c r="G54" s="79" t="s">
        <v>142</v>
      </c>
      <c r="H54" s="81">
        <v>0</v>
      </c>
      <c r="I54" s="82"/>
      <c r="J54" s="26"/>
      <c r="K54" s="27">
        <f t="shared" si="2"/>
        <v>0</v>
      </c>
      <c r="L54" s="83"/>
      <c r="M54" s="83"/>
      <c r="N54" s="26"/>
      <c r="O54" s="27">
        <f t="shared" si="1"/>
        <v>0</v>
      </c>
      <c r="P54" s="78"/>
      <c r="Q54" s="84"/>
      <c r="R54" s="20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7" customFormat="1" ht="24.75" customHeight="1">
      <c r="A55" s="29">
        <v>25</v>
      </c>
      <c r="B55" s="30" t="s">
        <v>51</v>
      </c>
      <c r="C55" s="29" t="s">
        <v>52</v>
      </c>
      <c r="D55" s="30" t="s">
        <v>53</v>
      </c>
      <c r="E55" s="30" t="s">
        <v>19</v>
      </c>
      <c r="F55" s="30" t="s">
        <v>292</v>
      </c>
      <c r="G55" s="30" t="s">
        <v>142</v>
      </c>
      <c r="H55" s="25">
        <v>8</v>
      </c>
      <c r="I55" s="1">
        <v>3</v>
      </c>
      <c r="J55" s="26">
        <v>3</v>
      </c>
      <c r="K55" s="27">
        <f t="shared" si="2"/>
        <v>0</v>
      </c>
      <c r="L55" s="27"/>
      <c r="M55" s="27"/>
      <c r="N55" s="1">
        <v>13</v>
      </c>
      <c r="O55" s="27">
        <f t="shared" si="1"/>
        <v>0</v>
      </c>
      <c r="P55" s="27"/>
      <c r="Q55" s="27"/>
      <c r="R55" s="20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ht="15" customHeight="1">
      <c r="A56" s="24">
        <v>26</v>
      </c>
      <c r="B56" s="23" t="s">
        <v>54</v>
      </c>
      <c r="C56" s="24" t="s">
        <v>18</v>
      </c>
      <c r="D56" s="23"/>
      <c r="E56" s="23" t="s">
        <v>19</v>
      </c>
      <c r="F56" s="23" t="s">
        <v>120</v>
      </c>
      <c r="G56" s="23" t="s">
        <v>142</v>
      </c>
      <c r="H56" s="25">
        <v>7</v>
      </c>
      <c r="I56" s="1">
        <v>3</v>
      </c>
      <c r="J56" s="26">
        <v>3</v>
      </c>
      <c r="K56" s="27">
        <f t="shared" si="2"/>
        <v>0</v>
      </c>
      <c r="L56" s="27"/>
      <c r="M56" s="27"/>
      <c r="N56" s="1">
        <v>2</v>
      </c>
      <c r="O56" s="27">
        <f t="shared" si="1"/>
        <v>0</v>
      </c>
      <c r="P56" s="27"/>
      <c r="Q56" s="27"/>
      <c r="R56" s="20"/>
    </row>
    <row r="57" spans="1:38" ht="15" customHeight="1">
      <c r="A57" s="24"/>
      <c r="B57" s="23" t="s">
        <v>54</v>
      </c>
      <c r="C57" s="24" t="s">
        <v>18</v>
      </c>
      <c r="D57" s="23"/>
      <c r="E57" s="23" t="s">
        <v>19</v>
      </c>
      <c r="F57" s="23" t="s">
        <v>292</v>
      </c>
      <c r="G57" s="23" t="s">
        <v>122</v>
      </c>
      <c r="H57" s="25">
        <v>3</v>
      </c>
      <c r="I57" s="1"/>
      <c r="J57" s="26"/>
      <c r="K57" s="27">
        <f t="shared" si="2"/>
        <v>0</v>
      </c>
      <c r="L57" s="27"/>
      <c r="M57" s="27"/>
      <c r="N57" s="1">
        <v>2</v>
      </c>
      <c r="O57" s="27">
        <f t="shared" si="1"/>
        <v>0</v>
      </c>
      <c r="P57" s="27"/>
      <c r="Q57" s="27"/>
      <c r="R57" s="20"/>
    </row>
    <row r="58" spans="1:38" s="7" customFormat="1" ht="15" customHeight="1">
      <c r="A58" s="24">
        <v>27</v>
      </c>
      <c r="B58" s="23" t="s">
        <v>55</v>
      </c>
      <c r="C58" s="24" t="s">
        <v>18</v>
      </c>
      <c r="D58" s="23"/>
      <c r="E58" s="23" t="s">
        <v>19</v>
      </c>
      <c r="F58" s="23" t="s">
        <v>292</v>
      </c>
      <c r="G58" s="23" t="s">
        <v>142</v>
      </c>
      <c r="H58" s="25">
        <v>2</v>
      </c>
      <c r="I58" s="1"/>
      <c r="J58" s="26"/>
      <c r="K58" s="27">
        <f t="shared" si="2"/>
        <v>0</v>
      </c>
      <c r="L58" s="27"/>
      <c r="M58" s="27"/>
      <c r="N58" s="1">
        <v>1</v>
      </c>
      <c r="O58" s="27">
        <f t="shared" si="1"/>
        <v>0</v>
      </c>
      <c r="P58" s="27"/>
      <c r="Q58" s="27"/>
      <c r="R58" s="20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</row>
    <row r="59" spans="1:38" ht="15.6" customHeight="1">
      <c r="A59" s="24"/>
      <c r="B59" s="23" t="s">
        <v>55</v>
      </c>
      <c r="C59" s="24" t="s">
        <v>18</v>
      </c>
      <c r="D59" s="23"/>
      <c r="E59" s="23" t="s">
        <v>19</v>
      </c>
      <c r="F59" s="23" t="s">
        <v>292</v>
      </c>
      <c r="G59" s="23" t="s">
        <v>122</v>
      </c>
      <c r="H59" s="25">
        <v>5</v>
      </c>
      <c r="I59" s="1"/>
      <c r="J59" s="26"/>
      <c r="K59" s="27">
        <f t="shared" si="2"/>
        <v>0</v>
      </c>
      <c r="L59" s="27"/>
      <c r="M59" s="27"/>
      <c r="N59" s="1">
        <v>1</v>
      </c>
      <c r="O59" s="27">
        <f t="shared" si="1"/>
        <v>0</v>
      </c>
      <c r="P59" s="27"/>
      <c r="Q59" s="27"/>
      <c r="R59" s="20"/>
    </row>
    <row r="60" spans="1:38" s="7" customFormat="1" ht="15" customHeight="1">
      <c r="A60" s="24">
        <v>28</v>
      </c>
      <c r="B60" s="23" t="s">
        <v>56</v>
      </c>
      <c r="C60" s="24" t="s">
        <v>52</v>
      </c>
      <c r="D60" s="23" t="s">
        <v>57</v>
      </c>
      <c r="E60" s="23" t="s">
        <v>19</v>
      </c>
      <c r="F60" s="23" t="s">
        <v>120</v>
      </c>
      <c r="G60" s="23" t="s">
        <v>142</v>
      </c>
      <c r="H60" s="25">
        <v>1</v>
      </c>
      <c r="I60" s="1"/>
      <c r="J60" s="26"/>
      <c r="K60" s="27">
        <f t="shared" si="2"/>
        <v>0</v>
      </c>
      <c r="L60" s="27"/>
      <c r="M60" s="27"/>
      <c r="N60" s="1">
        <v>4</v>
      </c>
      <c r="O60" s="27">
        <f t="shared" si="1"/>
        <v>0</v>
      </c>
      <c r="P60" s="27"/>
      <c r="Q60" s="27"/>
      <c r="R60" s="20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 spans="1:38" s="7" customFormat="1" ht="15" customHeight="1">
      <c r="A61" s="24">
        <v>29</v>
      </c>
      <c r="B61" s="23" t="s">
        <v>58</v>
      </c>
      <c r="C61" s="24" t="s">
        <v>18</v>
      </c>
      <c r="D61" s="23"/>
      <c r="E61" s="23" t="s">
        <v>19</v>
      </c>
      <c r="F61" s="23" t="s">
        <v>292</v>
      </c>
      <c r="G61" s="23" t="s">
        <v>142</v>
      </c>
      <c r="H61" s="25">
        <v>3</v>
      </c>
      <c r="I61" s="1"/>
      <c r="J61" s="26"/>
      <c r="K61" s="27">
        <f t="shared" si="2"/>
        <v>0</v>
      </c>
      <c r="L61" s="27"/>
      <c r="M61" s="27"/>
      <c r="N61" s="1">
        <v>4</v>
      </c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s="7" customFormat="1" ht="15" customHeight="1">
      <c r="A62" s="24"/>
      <c r="B62" s="23" t="s">
        <v>58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1</v>
      </c>
      <c r="I62" s="1"/>
      <c r="J62" s="26"/>
      <c r="K62" s="27">
        <f t="shared" si="2"/>
        <v>0</v>
      </c>
      <c r="L62" s="27"/>
      <c r="M62" s="27"/>
      <c r="N62" s="1">
        <v>3</v>
      </c>
      <c r="O62" s="27">
        <f t="shared" si="1"/>
        <v>0</v>
      </c>
      <c r="P62" s="27"/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" customHeight="1">
      <c r="A63" s="24">
        <v>30</v>
      </c>
      <c r="B63" s="23" t="s">
        <v>59</v>
      </c>
      <c r="C63" s="24" t="s">
        <v>18</v>
      </c>
      <c r="D63" s="23"/>
      <c r="E63" s="23" t="s">
        <v>60</v>
      </c>
      <c r="F63" s="23" t="s">
        <v>292</v>
      </c>
      <c r="G63" s="23" t="s">
        <v>142</v>
      </c>
      <c r="H63" s="25">
        <v>6</v>
      </c>
      <c r="I63" s="1"/>
      <c r="J63" s="26"/>
      <c r="K63" s="27">
        <f t="shared" si="2"/>
        <v>0</v>
      </c>
      <c r="L63" s="27"/>
      <c r="M63" s="27"/>
      <c r="N63" s="1">
        <v>1</v>
      </c>
      <c r="O63" s="27">
        <f t="shared" si="1"/>
        <v>0</v>
      </c>
      <c r="P63" s="27"/>
      <c r="Q63" s="27"/>
      <c r="R63" s="20"/>
    </row>
    <row r="64" spans="1:38" ht="15" customHeight="1">
      <c r="A64" s="24"/>
      <c r="B64" s="23" t="s">
        <v>139</v>
      </c>
      <c r="C64" s="24" t="s">
        <v>18</v>
      </c>
      <c r="D64" s="23"/>
      <c r="E64" s="23" t="s">
        <v>60</v>
      </c>
      <c r="F64" s="23" t="s">
        <v>292</v>
      </c>
      <c r="G64" s="23" t="s">
        <v>136</v>
      </c>
      <c r="H64" s="25">
        <v>5</v>
      </c>
      <c r="I64" s="2"/>
      <c r="J64" s="26"/>
      <c r="K64" s="27">
        <f t="shared" si="2"/>
        <v>0</v>
      </c>
      <c r="L64" s="27"/>
      <c r="M64" s="27"/>
      <c r="N64" s="2"/>
      <c r="O64" s="27">
        <f t="shared" si="1"/>
        <v>0</v>
      </c>
      <c r="P64" s="27"/>
      <c r="Q64" s="27"/>
      <c r="R64" s="20"/>
    </row>
    <row r="65" spans="1:38" s="7" customFormat="1" ht="15" customHeight="1">
      <c r="A65" s="24">
        <v>31</v>
      </c>
      <c r="B65" s="23" t="s">
        <v>61</v>
      </c>
      <c r="C65" s="24" t="s">
        <v>18</v>
      </c>
      <c r="D65" s="23"/>
      <c r="E65" s="23" t="s">
        <v>41</v>
      </c>
      <c r="F65" s="23" t="s">
        <v>268</v>
      </c>
      <c r="G65" s="23" t="s">
        <v>142</v>
      </c>
      <c r="H65" s="25">
        <v>5</v>
      </c>
      <c r="I65" s="1">
        <v>2</v>
      </c>
      <c r="J65" s="26">
        <v>2</v>
      </c>
      <c r="K65" s="27">
        <f t="shared" si="2"/>
        <v>0</v>
      </c>
      <c r="L65" s="27"/>
      <c r="M65" s="27"/>
      <c r="N65" s="1">
        <v>10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ht="15" customHeight="1">
      <c r="A66" s="24"/>
      <c r="B66" s="23" t="s">
        <v>61</v>
      </c>
      <c r="C66" s="24" t="s">
        <v>18</v>
      </c>
      <c r="D66" s="23"/>
      <c r="E66" s="23" t="s">
        <v>41</v>
      </c>
      <c r="F66" s="23" t="s">
        <v>292</v>
      </c>
      <c r="G66" s="23" t="s">
        <v>136</v>
      </c>
      <c r="H66" s="25">
        <v>0</v>
      </c>
      <c r="I66" s="2"/>
      <c r="J66" s="26"/>
      <c r="K66" s="27">
        <f t="shared" si="2"/>
        <v>0</v>
      </c>
      <c r="L66" s="27"/>
      <c r="M66" s="27"/>
      <c r="N66" s="2"/>
      <c r="O66" s="27">
        <f t="shared" si="1"/>
        <v>0</v>
      </c>
      <c r="P66" s="27"/>
      <c r="Q66" s="27"/>
      <c r="R66" s="20"/>
    </row>
    <row r="67" spans="1:38" ht="15" customHeight="1">
      <c r="A67" s="24">
        <v>32</v>
      </c>
      <c r="B67" s="23" t="s">
        <v>62</v>
      </c>
      <c r="C67" s="24" t="s">
        <v>18</v>
      </c>
      <c r="D67" s="23"/>
      <c r="E67" s="23" t="s">
        <v>19</v>
      </c>
      <c r="F67" s="23" t="s">
        <v>292</v>
      </c>
      <c r="G67" s="23" t="s">
        <v>142</v>
      </c>
      <c r="H67" s="25">
        <v>8</v>
      </c>
      <c r="I67" s="1">
        <v>1</v>
      </c>
      <c r="J67" s="26">
        <v>1</v>
      </c>
      <c r="K67" s="27">
        <f t="shared" si="2"/>
        <v>0</v>
      </c>
      <c r="L67" s="27"/>
      <c r="M67" s="27"/>
      <c r="N67" s="1">
        <v>2</v>
      </c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62</v>
      </c>
      <c r="C68" s="24" t="s">
        <v>18</v>
      </c>
      <c r="D68" s="23"/>
      <c r="E68" s="23" t="s">
        <v>19</v>
      </c>
      <c r="F68" s="23" t="s">
        <v>277</v>
      </c>
      <c r="G68" s="23" t="s">
        <v>124</v>
      </c>
      <c r="H68" s="25">
        <v>0</v>
      </c>
      <c r="I68" s="1"/>
      <c r="J68" s="26"/>
      <c r="K68" s="27">
        <f t="shared" si="2"/>
        <v>0</v>
      </c>
      <c r="L68" s="27"/>
      <c r="M68" s="27"/>
      <c r="N68" s="1"/>
      <c r="O68" s="27">
        <f t="shared" si="1"/>
        <v>0</v>
      </c>
      <c r="P68" s="27"/>
      <c r="Q68" s="27"/>
      <c r="R68" s="20"/>
    </row>
    <row r="69" spans="1:38" ht="15" customHeight="1">
      <c r="A69" s="24"/>
      <c r="B69" s="23" t="s">
        <v>62</v>
      </c>
      <c r="C69" s="24" t="s">
        <v>18</v>
      </c>
      <c r="D69" s="23"/>
      <c r="E69" s="23" t="s">
        <v>19</v>
      </c>
      <c r="F69" s="23" t="s">
        <v>120</v>
      </c>
      <c r="G69" s="23" t="s">
        <v>122</v>
      </c>
      <c r="H69" s="25">
        <v>2</v>
      </c>
      <c r="I69" s="1"/>
      <c r="J69" s="26"/>
      <c r="K69" s="27">
        <f t="shared" si="2"/>
        <v>0</v>
      </c>
      <c r="L69" s="27"/>
      <c r="M69" s="27"/>
      <c r="N69" s="1">
        <v>2</v>
      </c>
      <c r="O69" s="27">
        <f t="shared" si="1"/>
        <v>0</v>
      </c>
      <c r="P69" s="27"/>
      <c r="Q69" s="27"/>
      <c r="R69" s="20"/>
    </row>
    <row r="70" spans="1:38" ht="15" customHeight="1">
      <c r="A70" s="24"/>
      <c r="B70" s="23" t="s">
        <v>62</v>
      </c>
      <c r="C70" s="24" t="s">
        <v>18</v>
      </c>
      <c r="D70" s="23"/>
      <c r="E70" s="23" t="s">
        <v>19</v>
      </c>
      <c r="F70" s="23" t="s">
        <v>292</v>
      </c>
      <c r="G70" s="23" t="s">
        <v>210</v>
      </c>
      <c r="H70" s="25">
        <v>2</v>
      </c>
      <c r="I70" s="1"/>
      <c r="J70" s="26"/>
      <c r="K70" s="27">
        <f t="shared" si="2"/>
        <v>0</v>
      </c>
      <c r="L70" s="27"/>
      <c r="M70" s="27"/>
      <c r="N70" s="1">
        <v>1</v>
      </c>
      <c r="O70" s="27">
        <f t="shared" si="1"/>
        <v>0</v>
      </c>
      <c r="P70" s="27"/>
      <c r="Q70" s="27"/>
      <c r="R70" s="20"/>
    </row>
    <row r="71" spans="1:38" ht="15" customHeight="1">
      <c r="A71" s="24">
        <v>33</v>
      </c>
      <c r="B71" s="23" t="s">
        <v>63</v>
      </c>
      <c r="C71" s="24" t="s">
        <v>18</v>
      </c>
      <c r="D71" s="23"/>
      <c r="E71" s="23" t="s">
        <v>41</v>
      </c>
      <c r="F71" s="23" t="s">
        <v>120</v>
      </c>
      <c r="G71" s="23" t="s">
        <v>142</v>
      </c>
      <c r="H71" s="25">
        <v>5</v>
      </c>
      <c r="I71" s="1">
        <v>2</v>
      </c>
      <c r="J71" s="26">
        <v>2</v>
      </c>
      <c r="K71" s="27">
        <f t="shared" si="2"/>
        <v>0</v>
      </c>
      <c r="L71" s="27"/>
      <c r="M71" s="27"/>
      <c r="N71" s="1">
        <v>8</v>
      </c>
      <c r="O71" s="27">
        <f t="shared" si="1"/>
        <v>0</v>
      </c>
      <c r="P71" s="27"/>
      <c r="Q71" s="27"/>
      <c r="R71" s="20"/>
    </row>
    <row r="72" spans="1:38" ht="15" customHeight="1">
      <c r="A72" s="24"/>
      <c r="B72" s="23" t="s">
        <v>63</v>
      </c>
      <c r="C72" s="24" t="s">
        <v>18</v>
      </c>
      <c r="D72" s="23"/>
      <c r="E72" s="23" t="s">
        <v>41</v>
      </c>
      <c r="F72" s="23" t="s">
        <v>120</v>
      </c>
      <c r="G72" s="23" t="s">
        <v>136</v>
      </c>
      <c r="H72" s="25">
        <v>2</v>
      </c>
      <c r="I72" s="2"/>
      <c r="J72" s="26"/>
      <c r="K72" s="27">
        <f t="shared" si="2"/>
        <v>0</v>
      </c>
      <c r="L72" s="27"/>
      <c r="M72" s="27"/>
      <c r="N72" s="2">
        <v>5</v>
      </c>
      <c r="O72" s="27">
        <f t="shared" si="1"/>
        <v>0</v>
      </c>
      <c r="P72" s="27"/>
      <c r="Q72" s="27"/>
      <c r="R72" s="20"/>
    </row>
    <row r="73" spans="1:38" s="17" customFormat="1" ht="15" customHeight="1">
      <c r="A73" s="24">
        <v>34</v>
      </c>
      <c r="B73" s="23" t="s">
        <v>64</v>
      </c>
      <c r="C73" s="24" t="s">
        <v>18</v>
      </c>
      <c r="D73" s="23"/>
      <c r="E73" s="23" t="s">
        <v>41</v>
      </c>
      <c r="F73" s="23" t="s">
        <v>123</v>
      </c>
      <c r="G73" s="23" t="s">
        <v>142</v>
      </c>
      <c r="H73" s="25">
        <v>0</v>
      </c>
      <c r="I73" s="2"/>
      <c r="J73" s="26"/>
      <c r="K73" s="27">
        <f t="shared" si="2"/>
        <v>0</v>
      </c>
      <c r="L73" s="27"/>
      <c r="M73" s="27"/>
      <c r="N73" s="2"/>
      <c r="O73" s="27">
        <f t="shared" si="1"/>
        <v>0</v>
      </c>
      <c r="P73" s="27"/>
      <c r="Q73" s="27"/>
      <c r="R73" s="20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</row>
    <row r="74" spans="1:38" ht="15" customHeight="1">
      <c r="A74" s="24"/>
      <c r="B74" s="23" t="s">
        <v>64</v>
      </c>
      <c r="C74" s="24" t="s">
        <v>18</v>
      </c>
      <c r="D74" s="23"/>
      <c r="E74" s="23" t="s">
        <v>41</v>
      </c>
      <c r="F74" s="23" t="s">
        <v>123</v>
      </c>
      <c r="G74" s="23" t="s">
        <v>122</v>
      </c>
      <c r="H74" s="25">
        <v>0</v>
      </c>
      <c r="I74" s="1"/>
      <c r="J74" s="26"/>
      <c r="K74" s="27">
        <f t="shared" si="2"/>
        <v>0</v>
      </c>
      <c r="L74" s="27"/>
      <c r="M74" s="27"/>
      <c r="N74" s="1"/>
      <c r="O74" s="27">
        <f t="shared" si="1"/>
        <v>0</v>
      </c>
      <c r="P74" s="27"/>
      <c r="Q74" s="27"/>
      <c r="R74" s="20"/>
    </row>
    <row r="75" spans="1:38" s="17" customFormat="1" ht="15" customHeight="1">
      <c r="A75" s="24">
        <v>35</v>
      </c>
      <c r="B75" s="23" t="s">
        <v>238</v>
      </c>
      <c r="C75" s="24" t="s">
        <v>18</v>
      </c>
      <c r="D75" s="23"/>
      <c r="E75" s="23" t="s">
        <v>41</v>
      </c>
      <c r="F75" s="23" t="s">
        <v>123</v>
      </c>
      <c r="G75" s="23" t="s">
        <v>142</v>
      </c>
      <c r="H75" s="25">
        <v>8</v>
      </c>
      <c r="I75" s="1"/>
      <c r="J75" s="26"/>
      <c r="K75" s="27">
        <f t="shared" si="2"/>
        <v>0</v>
      </c>
      <c r="L75" s="27"/>
      <c r="M75" s="27"/>
      <c r="N75" s="1">
        <v>1</v>
      </c>
      <c r="O75" s="27">
        <f t="shared" si="1"/>
        <v>0</v>
      </c>
      <c r="P75" s="27"/>
      <c r="Q75" s="27"/>
      <c r="R75" s="20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</row>
    <row r="76" spans="1:38" s="7" customFormat="1" ht="15" customHeight="1">
      <c r="A76" s="24">
        <v>36</v>
      </c>
      <c r="B76" s="23" t="s">
        <v>65</v>
      </c>
      <c r="C76" s="24" t="s">
        <v>18</v>
      </c>
      <c r="D76" s="23"/>
      <c r="E76" s="23" t="s">
        <v>66</v>
      </c>
      <c r="F76" s="23" t="s">
        <v>295</v>
      </c>
      <c r="G76" s="23" t="s">
        <v>142</v>
      </c>
      <c r="H76" s="25">
        <v>3</v>
      </c>
      <c r="I76" s="1"/>
      <c r="J76" s="26"/>
      <c r="K76" s="27">
        <f t="shared" si="2"/>
        <v>0</v>
      </c>
      <c r="L76" s="27"/>
      <c r="M76" s="27"/>
      <c r="N76" s="1">
        <v>9</v>
      </c>
      <c r="O76" s="27">
        <f t="shared" si="1"/>
        <v>0</v>
      </c>
      <c r="P76" s="27"/>
      <c r="Q76" s="27"/>
      <c r="R76" s="20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</row>
    <row r="77" spans="1:38" ht="15" customHeight="1">
      <c r="A77" s="24"/>
      <c r="B77" s="23" t="s">
        <v>65</v>
      </c>
      <c r="C77" s="24" t="s">
        <v>18</v>
      </c>
      <c r="D77" s="23"/>
      <c r="E77" s="23" t="s">
        <v>66</v>
      </c>
      <c r="F77" s="23" t="s">
        <v>123</v>
      </c>
      <c r="G77" s="23" t="s">
        <v>136</v>
      </c>
      <c r="H77" s="25">
        <v>0</v>
      </c>
      <c r="I77" s="2"/>
      <c r="J77" s="26"/>
      <c r="K77" s="27">
        <f t="shared" si="2"/>
        <v>0</v>
      </c>
      <c r="L77" s="27"/>
      <c r="M77" s="27"/>
      <c r="N77" s="2"/>
      <c r="O77" s="27">
        <f t="shared" si="1"/>
        <v>0</v>
      </c>
      <c r="P77" s="27"/>
      <c r="Q77" s="27"/>
      <c r="R77" s="20"/>
    </row>
    <row r="78" spans="1:38" s="7" customFormat="1" ht="15" customHeight="1">
      <c r="A78" s="24">
        <v>37</v>
      </c>
      <c r="B78" s="23" t="s">
        <v>67</v>
      </c>
      <c r="C78" s="24" t="s">
        <v>18</v>
      </c>
      <c r="D78" s="23"/>
      <c r="E78" s="23" t="s">
        <v>19</v>
      </c>
      <c r="F78" s="23" t="s">
        <v>292</v>
      </c>
      <c r="G78" s="23" t="s">
        <v>142</v>
      </c>
      <c r="H78" s="25">
        <v>8</v>
      </c>
      <c r="I78" s="1">
        <v>5</v>
      </c>
      <c r="J78" s="26">
        <v>5</v>
      </c>
      <c r="K78" s="27">
        <f t="shared" ref="K78:K154" si="3">L78+M78</f>
        <v>0</v>
      </c>
      <c r="L78" s="27"/>
      <c r="M78" s="27"/>
      <c r="N78" s="1">
        <v>6</v>
      </c>
      <c r="O78" s="27">
        <f t="shared" si="1"/>
        <v>0</v>
      </c>
      <c r="P78" s="27"/>
      <c r="Q78" s="27"/>
      <c r="R78" s="20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</row>
    <row r="79" spans="1:38" s="28" customFormat="1" ht="15" customHeight="1">
      <c r="A79" s="24"/>
      <c r="B79" s="23" t="s">
        <v>67</v>
      </c>
      <c r="C79" s="24" t="s">
        <v>18</v>
      </c>
      <c r="D79" s="23"/>
      <c r="E79" s="23" t="s">
        <v>104</v>
      </c>
      <c r="F79" s="23" t="s">
        <v>123</v>
      </c>
      <c r="G79" s="23" t="s">
        <v>122</v>
      </c>
      <c r="H79" s="25">
        <v>0</v>
      </c>
      <c r="I79" s="1"/>
      <c r="J79" s="26"/>
      <c r="K79" s="27">
        <f t="shared" si="3"/>
        <v>0</v>
      </c>
      <c r="L79" s="27"/>
      <c r="M79" s="27"/>
      <c r="N79" s="1"/>
      <c r="O79" s="27">
        <f t="shared" si="1"/>
        <v>0</v>
      </c>
      <c r="P79" s="27"/>
      <c r="Q79" s="27"/>
      <c r="R79" s="20"/>
    </row>
    <row r="80" spans="1:38" ht="15" customHeight="1">
      <c r="A80" s="24">
        <v>38</v>
      </c>
      <c r="B80" s="23" t="s">
        <v>68</v>
      </c>
      <c r="C80" s="24" t="s">
        <v>18</v>
      </c>
      <c r="D80" s="24"/>
      <c r="E80" s="23" t="s">
        <v>50</v>
      </c>
      <c r="F80" s="23" t="s">
        <v>268</v>
      </c>
      <c r="G80" s="23" t="s">
        <v>142</v>
      </c>
      <c r="H80" s="25">
        <v>3</v>
      </c>
      <c r="I80" s="1"/>
      <c r="J80" s="26"/>
      <c r="K80" s="27">
        <f t="shared" si="3"/>
        <v>0</v>
      </c>
      <c r="L80" s="27"/>
      <c r="M80" s="27"/>
      <c r="N80" s="1"/>
      <c r="O80" s="27">
        <f t="shared" si="1"/>
        <v>0</v>
      </c>
      <c r="P80" s="27"/>
      <c r="Q80" s="27"/>
      <c r="R80" s="20"/>
    </row>
    <row r="81" spans="1:38" ht="15" customHeight="1">
      <c r="A81" s="24"/>
      <c r="B81" s="23" t="s">
        <v>68</v>
      </c>
      <c r="C81" s="24" t="s">
        <v>18</v>
      </c>
      <c r="D81" s="23"/>
      <c r="E81" s="23" t="s">
        <v>50</v>
      </c>
      <c r="F81" s="23" t="s">
        <v>123</v>
      </c>
      <c r="G81" s="23" t="s">
        <v>136</v>
      </c>
      <c r="H81" s="25">
        <v>0</v>
      </c>
      <c r="I81" s="2"/>
      <c r="J81" s="26"/>
      <c r="K81" s="27">
        <f t="shared" si="3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ht="15" customHeight="1">
      <c r="A82" s="24"/>
      <c r="B82" s="23" t="s">
        <v>68</v>
      </c>
      <c r="C82" s="24" t="s">
        <v>18</v>
      </c>
      <c r="D82" s="23"/>
      <c r="E82" s="23" t="s">
        <v>50</v>
      </c>
      <c r="F82" s="23" t="s">
        <v>292</v>
      </c>
      <c r="G82" s="23" t="s">
        <v>124</v>
      </c>
      <c r="H82" s="25">
        <v>0</v>
      </c>
      <c r="I82" s="2"/>
      <c r="J82" s="26"/>
      <c r="K82" s="27">
        <f t="shared" si="3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ht="15" customHeight="1">
      <c r="A83" s="24">
        <v>39</v>
      </c>
      <c r="B83" s="23" t="s">
        <v>127</v>
      </c>
      <c r="C83" s="24" t="s">
        <v>18</v>
      </c>
      <c r="D83" s="23"/>
      <c r="E83" s="23" t="s">
        <v>41</v>
      </c>
      <c r="F83" s="23" t="s">
        <v>120</v>
      </c>
      <c r="G83" s="23" t="s">
        <v>142</v>
      </c>
      <c r="H83" s="25">
        <v>2</v>
      </c>
      <c r="I83" s="2"/>
      <c r="J83" s="26"/>
      <c r="K83" s="27">
        <f t="shared" si="3"/>
        <v>0</v>
      </c>
      <c r="L83" s="27"/>
      <c r="M83" s="27"/>
      <c r="N83" s="2">
        <v>1</v>
      </c>
      <c r="O83" s="27">
        <f t="shared" si="1"/>
        <v>0</v>
      </c>
      <c r="P83" s="27"/>
      <c r="Q83" s="27"/>
      <c r="R83" s="20"/>
    </row>
    <row r="84" spans="1:38" ht="15" customHeight="1">
      <c r="A84" s="24"/>
      <c r="B84" s="23" t="s">
        <v>127</v>
      </c>
      <c r="C84" s="24" t="s">
        <v>18</v>
      </c>
      <c r="D84" s="23"/>
      <c r="E84" s="23" t="s">
        <v>50</v>
      </c>
      <c r="F84" s="23" t="s">
        <v>295</v>
      </c>
      <c r="G84" s="23" t="s">
        <v>136</v>
      </c>
      <c r="H84" s="25">
        <v>7</v>
      </c>
      <c r="I84" s="2"/>
      <c r="J84" s="26"/>
      <c r="K84" s="27">
        <f t="shared" si="3"/>
        <v>0</v>
      </c>
      <c r="L84" s="27"/>
      <c r="M84" s="27"/>
      <c r="N84" s="2">
        <v>6</v>
      </c>
      <c r="O84" s="27">
        <f t="shared" si="1"/>
        <v>0</v>
      </c>
      <c r="P84" s="27"/>
      <c r="Q84" s="27"/>
      <c r="R84" s="20"/>
    </row>
    <row r="85" spans="1:38" ht="15" customHeight="1">
      <c r="A85" s="24"/>
      <c r="B85" s="23" t="s">
        <v>127</v>
      </c>
      <c r="C85" s="24" t="s">
        <v>18</v>
      </c>
      <c r="D85" s="23"/>
      <c r="E85" s="23" t="s">
        <v>50</v>
      </c>
      <c r="F85" s="23" t="s">
        <v>294</v>
      </c>
      <c r="G85" s="23" t="s">
        <v>124</v>
      </c>
      <c r="H85" s="25">
        <v>1</v>
      </c>
      <c r="I85" s="2"/>
      <c r="J85" s="26"/>
      <c r="K85" s="27">
        <f t="shared" si="3"/>
        <v>0</v>
      </c>
      <c r="L85" s="27"/>
      <c r="M85" s="27"/>
      <c r="N85" s="2">
        <v>1</v>
      </c>
      <c r="O85" s="27">
        <f t="shared" ref="O85:O169" si="4">P85+Q85</f>
        <v>0</v>
      </c>
      <c r="P85" s="27"/>
      <c r="Q85" s="27"/>
      <c r="R85" s="20"/>
    </row>
    <row r="86" spans="1:38" s="7" customFormat="1" ht="15" customHeight="1">
      <c r="A86" s="74">
        <v>40</v>
      </c>
      <c r="B86" s="77" t="s">
        <v>69</v>
      </c>
      <c r="C86" s="74" t="s">
        <v>18</v>
      </c>
      <c r="D86" s="77"/>
      <c r="E86" s="77" t="s">
        <v>19</v>
      </c>
      <c r="F86" s="77" t="s">
        <v>292</v>
      </c>
      <c r="G86" s="77" t="s">
        <v>142</v>
      </c>
      <c r="H86" s="25">
        <v>0</v>
      </c>
      <c r="I86" s="1"/>
      <c r="J86" s="26"/>
      <c r="K86" s="27">
        <f t="shared" si="3"/>
        <v>0</v>
      </c>
      <c r="L86" s="27"/>
      <c r="M86" s="27"/>
      <c r="N86" s="1"/>
      <c r="O86" s="27">
        <f t="shared" si="4"/>
        <v>0</v>
      </c>
      <c r="P86" s="27"/>
      <c r="Q86" s="27"/>
      <c r="R86" s="20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 spans="1:38" s="7" customFormat="1" ht="15.75" customHeight="1">
      <c r="A87" s="74">
        <v>41</v>
      </c>
      <c r="B87" s="77" t="s">
        <v>70</v>
      </c>
      <c r="C87" s="74" t="s">
        <v>18</v>
      </c>
      <c r="D87" s="77"/>
      <c r="E87" s="77" t="s">
        <v>19</v>
      </c>
      <c r="F87" s="77" t="s">
        <v>292</v>
      </c>
      <c r="G87" s="77" t="s">
        <v>142</v>
      </c>
      <c r="H87" s="25">
        <v>2</v>
      </c>
      <c r="I87" s="1">
        <v>1</v>
      </c>
      <c r="J87" s="26">
        <v>1</v>
      </c>
      <c r="K87" s="27">
        <f t="shared" si="3"/>
        <v>0</v>
      </c>
      <c r="L87" s="27"/>
      <c r="M87" s="27"/>
      <c r="N87" s="1">
        <v>3</v>
      </c>
      <c r="O87" s="27">
        <f t="shared" si="4"/>
        <v>0</v>
      </c>
      <c r="P87" s="27"/>
      <c r="Q87" s="27"/>
      <c r="R87" s="20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 spans="1:38" ht="15" customHeight="1">
      <c r="A88" s="74">
        <v>42</v>
      </c>
      <c r="B88" s="77" t="s">
        <v>71</v>
      </c>
      <c r="C88" s="74" t="s">
        <v>18</v>
      </c>
      <c r="D88" s="77"/>
      <c r="E88" s="77" t="s">
        <v>32</v>
      </c>
      <c r="F88" s="77" t="s">
        <v>292</v>
      </c>
      <c r="G88" s="77" t="s">
        <v>121</v>
      </c>
      <c r="H88" s="25">
        <v>0</v>
      </c>
      <c r="I88" s="1"/>
      <c r="J88" s="26"/>
      <c r="K88" s="27">
        <f t="shared" si="3"/>
        <v>0</v>
      </c>
      <c r="L88" s="27"/>
      <c r="M88" s="27"/>
      <c r="N88" s="1"/>
      <c r="O88" s="27">
        <f t="shared" si="4"/>
        <v>0</v>
      </c>
      <c r="P88" s="27"/>
      <c r="Q88" s="27"/>
      <c r="R88" s="20"/>
    </row>
    <row r="89" spans="1:38" ht="15" customHeight="1">
      <c r="A89" s="24"/>
      <c r="B89" s="23" t="s">
        <v>71</v>
      </c>
      <c r="C89" s="24" t="s">
        <v>18</v>
      </c>
      <c r="D89" s="23"/>
      <c r="E89" s="23" t="s">
        <v>32</v>
      </c>
      <c r="F89" s="23" t="s">
        <v>292</v>
      </c>
      <c r="G89" s="23" t="s">
        <v>122</v>
      </c>
      <c r="H89" s="25">
        <v>0</v>
      </c>
      <c r="I89" s="1"/>
      <c r="J89" s="26"/>
      <c r="K89" s="27">
        <f t="shared" si="3"/>
        <v>0</v>
      </c>
      <c r="L89" s="27"/>
      <c r="M89" s="27"/>
      <c r="N89" s="1"/>
      <c r="O89" s="27">
        <f t="shared" si="4"/>
        <v>0</v>
      </c>
      <c r="P89" s="27"/>
      <c r="Q89" s="27"/>
      <c r="R89" s="20"/>
    </row>
    <row r="90" spans="1:38" ht="15" customHeight="1">
      <c r="A90" s="24">
        <v>43</v>
      </c>
      <c r="B90" s="23" t="s">
        <v>72</v>
      </c>
      <c r="C90" s="24" t="s">
        <v>18</v>
      </c>
      <c r="D90" s="23"/>
      <c r="E90" s="23" t="s">
        <v>19</v>
      </c>
      <c r="F90" s="23" t="s">
        <v>268</v>
      </c>
      <c r="G90" s="23" t="s">
        <v>142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</row>
    <row r="91" spans="1:38" ht="15" customHeight="1">
      <c r="A91" s="24"/>
      <c r="B91" s="23" t="s">
        <v>72</v>
      </c>
      <c r="C91" s="24" t="s">
        <v>18</v>
      </c>
      <c r="D91" s="23"/>
      <c r="E91" s="23" t="s">
        <v>19</v>
      </c>
      <c r="F91" s="23" t="s">
        <v>292</v>
      </c>
      <c r="G91" s="23" t="s">
        <v>122</v>
      </c>
      <c r="H91" s="25">
        <v>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</row>
    <row r="92" spans="1:38" ht="15" customHeight="1">
      <c r="A92" s="24">
        <v>44</v>
      </c>
      <c r="B92" s="23" t="s">
        <v>73</v>
      </c>
      <c r="C92" s="24" t="s">
        <v>18</v>
      </c>
      <c r="D92" s="23"/>
      <c r="E92" s="23" t="s">
        <v>19</v>
      </c>
      <c r="F92" s="23"/>
      <c r="G92" s="23" t="s">
        <v>142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</row>
    <row r="93" spans="1:38" s="7" customFormat="1" ht="15" customHeight="1">
      <c r="A93" s="24">
        <v>45</v>
      </c>
      <c r="B93" s="23" t="s">
        <v>74</v>
      </c>
      <c r="C93" s="24" t="s">
        <v>18</v>
      </c>
      <c r="D93" s="23"/>
      <c r="E93" s="23" t="s">
        <v>19</v>
      </c>
      <c r="F93" s="23" t="s">
        <v>120</v>
      </c>
      <c r="G93" s="23" t="s">
        <v>142</v>
      </c>
      <c r="H93" s="25">
        <v>4</v>
      </c>
      <c r="I93" s="1">
        <v>2</v>
      </c>
      <c r="J93" s="26">
        <v>2</v>
      </c>
      <c r="K93" s="27">
        <f t="shared" si="3"/>
        <v>0</v>
      </c>
      <c r="L93" s="27"/>
      <c r="M93" s="27"/>
      <c r="N93" s="1">
        <v>6</v>
      </c>
      <c r="O93" s="27">
        <f t="shared" si="4"/>
        <v>0</v>
      </c>
      <c r="P93" s="27"/>
      <c r="Q93" s="27"/>
      <c r="R93" s="20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 spans="1:38" s="7" customFormat="1" ht="15" customHeight="1">
      <c r="A94" s="24">
        <v>46</v>
      </c>
      <c r="B94" s="23" t="s">
        <v>312</v>
      </c>
      <c r="C94" s="24" t="s">
        <v>18</v>
      </c>
      <c r="D94" s="23"/>
      <c r="E94" s="23" t="s">
        <v>19</v>
      </c>
      <c r="F94" s="23" t="s">
        <v>298</v>
      </c>
      <c r="G94" s="23" t="s">
        <v>142</v>
      </c>
      <c r="H94" s="25">
        <v>2</v>
      </c>
      <c r="I94" s="1"/>
      <c r="J94" s="26"/>
      <c r="K94" s="27"/>
      <c r="L94" s="27"/>
      <c r="M94" s="27"/>
      <c r="N94" s="1"/>
      <c r="O94" s="27"/>
      <c r="P94" s="27"/>
      <c r="Q94" s="27"/>
      <c r="R94" s="20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 spans="1:38" s="7" customFormat="1" ht="15" customHeight="1">
      <c r="A95" s="24"/>
      <c r="B95" s="23" t="s">
        <v>312</v>
      </c>
      <c r="C95" s="24" t="s">
        <v>18</v>
      </c>
      <c r="D95" s="23"/>
      <c r="E95" s="23" t="s">
        <v>304</v>
      </c>
      <c r="F95" s="23" t="s">
        <v>268</v>
      </c>
      <c r="G95" s="23" t="s">
        <v>131</v>
      </c>
      <c r="H95" s="25">
        <v>3</v>
      </c>
      <c r="I95" s="1"/>
      <c r="J95" s="26"/>
      <c r="K95" s="27"/>
      <c r="L95" s="27"/>
      <c r="M95" s="27"/>
      <c r="N95" s="1"/>
      <c r="O95" s="27"/>
      <c r="P95" s="27"/>
      <c r="Q95" s="27"/>
      <c r="R95" s="20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 spans="1:38" s="7" customFormat="1" ht="15" customHeight="1">
      <c r="A96" s="24"/>
      <c r="B96" s="23" t="s">
        <v>312</v>
      </c>
      <c r="C96" s="24" t="s">
        <v>18</v>
      </c>
      <c r="D96" s="23"/>
      <c r="E96" s="23" t="s">
        <v>41</v>
      </c>
      <c r="F96" s="23" t="s">
        <v>298</v>
      </c>
      <c r="G96" s="23" t="s">
        <v>136</v>
      </c>
      <c r="H96" s="25">
        <v>6</v>
      </c>
      <c r="I96" s="1"/>
      <c r="J96" s="26"/>
      <c r="K96" s="27"/>
      <c r="L96" s="27"/>
      <c r="M96" s="27"/>
      <c r="N96" s="1"/>
      <c r="O96" s="27"/>
      <c r="P96" s="27"/>
      <c r="Q96" s="27"/>
      <c r="R96" s="20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 spans="1:38" ht="15" customHeight="1">
      <c r="A97" s="24">
        <v>47</v>
      </c>
      <c r="B97" s="23" t="s">
        <v>75</v>
      </c>
      <c r="C97" s="24" t="s">
        <v>18</v>
      </c>
      <c r="D97" s="23"/>
      <c r="E97" s="23" t="s">
        <v>19</v>
      </c>
      <c r="F97" s="23" t="s">
        <v>120</v>
      </c>
      <c r="G97" s="23" t="s">
        <v>142</v>
      </c>
      <c r="H97" s="25">
        <v>5</v>
      </c>
      <c r="I97" s="1">
        <v>2</v>
      </c>
      <c r="J97" s="26">
        <v>2</v>
      </c>
      <c r="K97" s="27">
        <f t="shared" si="3"/>
        <v>0</v>
      </c>
      <c r="L97" s="27"/>
      <c r="M97" s="27"/>
      <c r="N97" s="1">
        <v>12</v>
      </c>
      <c r="O97" s="27">
        <f>P97+Q97</f>
        <v>0</v>
      </c>
      <c r="P97" s="27"/>
      <c r="Q97" s="27"/>
      <c r="R97" s="20"/>
    </row>
    <row r="98" spans="1:38" ht="13.15" customHeight="1">
      <c r="A98" s="24"/>
      <c r="B98" s="23" t="s">
        <v>75</v>
      </c>
      <c r="C98" s="24" t="s">
        <v>18</v>
      </c>
      <c r="D98" s="23"/>
      <c r="E98" s="23" t="s">
        <v>76</v>
      </c>
      <c r="F98" s="23" t="s">
        <v>120</v>
      </c>
      <c r="G98" s="23" t="s">
        <v>131</v>
      </c>
      <c r="H98" s="25">
        <v>0</v>
      </c>
      <c r="I98" s="1"/>
      <c r="J98" s="26"/>
      <c r="K98" s="27">
        <f t="shared" si="3"/>
        <v>0</v>
      </c>
      <c r="L98" s="27"/>
      <c r="M98" s="27"/>
      <c r="N98" s="1">
        <v>5</v>
      </c>
      <c r="O98" s="27">
        <v>0</v>
      </c>
      <c r="P98" s="27"/>
      <c r="Q98" s="27"/>
      <c r="R98" s="20"/>
    </row>
    <row r="99" spans="1:38" ht="15" customHeight="1">
      <c r="A99" s="24"/>
      <c r="B99" s="23" t="s">
        <v>140</v>
      </c>
      <c r="C99" s="24" t="s">
        <v>18</v>
      </c>
      <c r="D99" s="23"/>
      <c r="E99" s="23" t="s">
        <v>76</v>
      </c>
      <c r="F99" s="23" t="s">
        <v>120</v>
      </c>
      <c r="G99" s="23" t="s">
        <v>136</v>
      </c>
      <c r="H99" s="25">
        <v>0</v>
      </c>
      <c r="I99" s="2"/>
      <c r="J99" s="26"/>
      <c r="K99" s="27">
        <f t="shared" si="3"/>
        <v>0</v>
      </c>
      <c r="L99" s="27"/>
      <c r="M99" s="27"/>
      <c r="N99" s="2">
        <v>11</v>
      </c>
      <c r="O99" s="27">
        <f>P99+Q99</f>
        <v>0</v>
      </c>
      <c r="P99" s="27"/>
      <c r="Q99" s="27"/>
      <c r="R99" s="20"/>
    </row>
    <row r="100" spans="1:38" s="17" customFormat="1" ht="15" customHeight="1">
      <c r="A100" s="24">
        <v>48</v>
      </c>
      <c r="B100" s="23" t="s">
        <v>267</v>
      </c>
      <c r="C100" s="24" t="s">
        <v>18</v>
      </c>
      <c r="D100" s="23"/>
      <c r="E100" s="23" t="s">
        <v>19</v>
      </c>
      <c r="F100" s="23" t="s">
        <v>268</v>
      </c>
      <c r="G100" s="23" t="s">
        <v>142</v>
      </c>
      <c r="H100" s="25">
        <v>0</v>
      </c>
      <c r="I100" s="2"/>
      <c r="J100" s="26"/>
      <c r="K100" s="27">
        <f t="shared" si="3"/>
        <v>0</v>
      </c>
      <c r="L100" s="27"/>
      <c r="M100" s="27"/>
      <c r="N100" s="2"/>
      <c r="O100" s="27">
        <f>P100+Q100</f>
        <v>0</v>
      </c>
      <c r="P100" s="27"/>
      <c r="Q100" s="27"/>
      <c r="R100" s="20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</row>
    <row r="101" spans="1:38" s="17" customFormat="1" ht="15" customHeight="1">
      <c r="A101" s="24"/>
      <c r="B101" s="23" t="s">
        <v>267</v>
      </c>
      <c r="C101" s="24" t="s">
        <v>18</v>
      </c>
      <c r="D101" s="23"/>
      <c r="E101" s="23" t="s">
        <v>19</v>
      </c>
      <c r="F101" s="23" t="s">
        <v>120</v>
      </c>
      <c r="G101" s="23" t="s">
        <v>131</v>
      </c>
      <c r="H101" s="25">
        <v>2</v>
      </c>
      <c r="I101" s="2"/>
      <c r="J101" s="26"/>
      <c r="K101" s="27">
        <f t="shared" si="3"/>
        <v>0</v>
      </c>
      <c r="L101" s="27"/>
      <c r="M101" s="27"/>
      <c r="N101" s="2"/>
      <c r="O101" s="27">
        <f t="shared" ref="O101:O103" si="5">P101+Q101</f>
        <v>0</v>
      </c>
      <c r="P101" s="27"/>
      <c r="Q101" s="27"/>
      <c r="R101" s="20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</row>
    <row r="102" spans="1:38" ht="15" customHeight="1">
      <c r="A102" s="24"/>
      <c r="B102" s="23" t="s">
        <v>267</v>
      </c>
      <c r="C102" s="24" t="s">
        <v>18</v>
      </c>
      <c r="D102" s="23"/>
      <c r="E102" s="23" t="s">
        <v>19</v>
      </c>
      <c r="F102" s="23" t="s">
        <v>123</v>
      </c>
      <c r="G102" s="23" t="s">
        <v>122</v>
      </c>
      <c r="H102" s="25">
        <v>1</v>
      </c>
      <c r="I102" s="2"/>
      <c r="J102" s="26"/>
      <c r="K102" s="27">
        <f t="shared" si="3"/>
        <v>0</v>
      </c>
      <c r="L102" s="27"/>
      <c r="M102" s="27"/>
      <c r="N102" s="2">
        <v>1</v>
      </c>
      <c r="O102" s="27">
        <f t="shared" si="5"/>
        <v>0</v>
      </c>
      <c r="P102" s="27"/>
      <c r="Q102" s="27"/>
      <c r="R102" s="20"/>
    </row>
    <row r="103" spans="1:38" ht="15" customHeight="1">
      <c r="A103" s="24">
        <v>49</v>
      </c>
      <c r="B103" s="23" t="s">
        <v>306</v>
      </c>
      <c r="C103" s="24" t="s">
        <v>30</v>
      </c>
      <c r="D103" s="23" t="s">
        <v>307</v>
      </c>
      <c r="E103" s="23" t="s">
        <v>19</v>
      </c>
      <c r="F103" s="23" t="s">
        <v>308</v>
      </c>
      <c r="G103" s="23" t="s">
        <v>122</v>
      </c>
      <c r="H103" s="25">
        <v>3</v>
      </c>
      <c r="I103" s="2"/>
      <c r="J103" s="26"/>
      <c r="K103" s="27">
        <f t="shared" si="3"/>
        <v>0</v>
      </c>
      <c r="L103" s="27"/>
      <c r="M103" s="27"/>
      <c r="N103" s="2"/>
      <c r="O103" s="27">
        <f t="shared" si="5"/>
        <v>0</v>
      </c>
      <c r="P103" s="27"/>
      <c r="Q103" s="27"/>
      <c r="R103" s="20"/>
    </row>
    <row r="104" spans="1:38" ht="30.75" customHeight="1">
      <c r="A104" s="24">
        <v>50</v>
      </c>
      <c r="B104" s="23" t="s">
        <v>78</v>
      </c>
      <c r="C104" s="24" t="s">
        <v>18</v>
      </c>
      <c r="D104" s="23" t="s">
        <v>276</v>
      </c>
      <c r="E104" s="23" t="s">
        <v>19</v>
      </c>
      <c r="F104" s="23" t="s">
        <v>123</v>
      </c>
      <c r="G104" s="23" t="s">
        <v>142</v>
      </c>
      <c r="H104" s="25">
        <v>10</v>
      </c>
      <c r="I104" s="1">
        <v>10</v>
      </c>
      <c r="J104" s="26">
        <v>10</v>
      </c>
      <c r="K104" s="27">
        <f t="shared" si="3"/>
        <v>0</v>
      </c>
      <c r="L104" s="27"/>
      <c r="M104" s="27"/>
      <c r="N104" s="1">
        <v>3</v>
      </c>
      <c r="O104" s="27">
        <f t="shared" si="4"/>
        <v>0</v>
      </c>
      <c r="P104" s="27"/>
      <c r="Q104" s="27"/>
      <c r="R104" s="20"/>
    </row>
    <row r="105" spans="1:38" s="7" customFormat="1" ht="15" customHeight="1">
      <c r="A105" s="24"/>
      <c r="B105" s="23" t="s">
        <v>78</v>
      </c>
      <c r="C105" s="24" t="s">
        <v>18</v>
      </c>
      <c r="D105" s="23"/>
      <c r="E105" s="23" t="s">
        <v>19</v>
      </c>
      <c r="F105" s="23" t="s">
        <v>120</v>
      </c>
      <c r="G105" s="23" t="s">
        <v>131</v>
      </c>
      <c r="H105" s="25">
        <v>0</v>
      </c>
      <c r="I105" s="1"/>
      <c r="J105" s="26"/>
      <c r="K105" s="27">
        <f t="shared" si="3"/>
        <v>0</v>
      </c>
      <c r="L105" s="27"/>
      <c r="M105" s="27"/>
      <c r="N105" s="1"/>
      <c r="O105" s="27">
        <f t="shared" si="4"/>
        <v>0</v>
      </c>
      <c r="P105" s="27"/>
      <c r="Q105" s="27"/>
      <c r="R105" s="20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 spans="1:38" ht="15" customHeight="1">
      <c r="A106" s="24"/>
      <c r="B106" s="23" t="s">
        <v>78</v>
      </c>
      <c r="C106" s="24" t="s">
        <v>18</v>
      </c>
      <c r="D106" s="23"/>
      <c r="E106" s="23" t="s">
        <v>19</v>
      </c>
      <c r="F106" s="23" t="s">
        <v>120</v>
      </c>
      <c r="G106" s="23" t="s">
        <v>122</v>
      </c>
      <c r="H106" s="25">
        <v>0</v>
      </c>
      <c r="I106" s="1"/>
      <c r="J106" s="26"/>
      <c r="K106" s="27">
        <f t="shared" si="3"/>
        <v>0</v>
      </c>
      <c r="L106" s="27"/>
      <c r="M106" s="27"/>
      <c r="N106" s="1"/>
      <c r="O106" s="27">
        <f t="shared" si="4"/>
        <v>0</v>
      </c>
      <c r="P106" s="27"/>
      <c r="Q106" s="27"/>
      <c r="R106" s="20"/>
    </row>
    <row r="107" spans="1:38" ht="15" customHeight="1">
      <c r="A107" s="24">
        <v>51</v>
      </c>
      <c r="B107" s="23" t="s">
        <v>79</v>
      </c>
      <c r="C107" s="24" t="s">
        <v>18</v>
      </c>
      <c r="D107" s="23"/>
      <c r="E107" s="23" t="s">
        <v>19</v>
      </c>
      <c r="F107" s="23"/>
      <c r="G107" s="23" t="s">
        <v>142</v>
      </c>
      <c r="H107" s="25">
        <v>0</v>
      </c>
      <c r="I107" s="1"/>
      <c r="J107" s="26"/>
      <c r="K107" s="27">
        <f t="shared" si="3"/>
        <v>0</v>
      </c>
      <c r="L107" s="27"/>
      <c r="M107" s="27"/>
      <c r="N107" s="1"/>
      <c r="O107" s="27">
        <f t="shared" si="4"/>
        <v>0</v>
      </c>
      <c r="P107" s="27"/>
      <c r="Q107" s="27"/>
      <c r="R107" s="20"/>
    </row>
    <row r="108" spans="1:38" ht="15" customHeight="1">
      <c r="A108" s="24">
        <v>52</v>
      </c>
      <c r="B108" s="23" t="s">
        <v>80</v>
      </c>
      <c r="C108" s="24" t="s">
        <v>18</v>
      </c>
      <c r="D108" s="23"/>
      <c r="E108" s="23" t="s">
        <v>19</v>
      </c>
      <c r="F108" s="23" t="s">
        <v>120</v>
      </c>
      <c r="G108" s="23" t="s">
        <v>142</v>
      </c>
      <c r="H108" s="25">
        <v>8</v>
      </c>
      <c r="I108" s="1">
        <v>2</v>
      </c>
      <c r="J108" s="26">
        <v>2</v>
      </c>
      <c r="K108" s="27">
        <f t="shared" si="3"/>
        <v>0</v>
      </c>
      <c r="L108" s="27"/>
      <c r="M108" s="27"/>
      <c r="N108" s="1">
        <v>1</v>
      </c>
      <c r="O108" s="27">
        <f t="shared" si="4"/>
        <v>0</v>
      </c>
      <c r="P108" s="27"/>
      <c r="Q108" s="27"/>
      <c r="R108" s="20"/>
    </row>
    <row r="109" spans="1:38" s="7" customFormat="1" ht="15" customHeight="1">
      <c r="A109" s="24"/>
      <c r="B109" s="23" t="s">
        <v>80</v>
      </c>
      <c r="C109" s="24" t="s">
        <v>18</v>
      </c>
      <c r="D109" s="23"/>
      <c r="E109" s="23" t="s">
        <v>19</v>
      </c>
      <c r="F109" s="23" t="s">
        <v>120</v>
      </c>
      <c r="G109" s="23" t="s">
        <v>122</v>
      </c>
      <c r="H109" s="25">
        <v>0</v>
      </c>
      <c r="I109" s="1"/>
      <c r="J109" s="26"/>
      <c r="K109" s="27">
        <f t="shared" si="3"/>
        <v>0</v>
      </c>
      <c r="L109" s="27"/>
      <c r="M109" s="27"/>
      <c r="N109" s="1"/>
      <c r="O109" s="27">
        <f t="shared" si="4"/>
        <v>0</v>
      </c>
      <c r="P109" s="27"/>
      <c r="Q109" s="27"/>
      <c r="R109" s="20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</row>
    <row r="110" spans="1:38" s="7" customFormat="1" ht="15" customHeight="1">
      <c r="A110" s="24">
        <v>53</v>
      </c>
      <c r="B110" s="23" t="s">
        <v>313</v>
      </c>
      <c r="C110" s="24" t="s">
        <v>18</v>
      </c>
      <c r="D110" s="23"/>
      <c r="E110" s="23" t="s">
        <v>41</v>
      </c>
      <c r="F110" s="23" t="s">
        <v>298</v>
      </c>
      <c r="G110" s="23" t="s">
        <v>136</v>
      </c>
      <c r="H110" s="25">
        <v>1</v>
      </c>
      <c r="I110" s="1"/>
      <c r="J110" s="26"/>
      <c r="K110" s="27"/>
      <c r="L110" s="27"/>
      <c r="M110" s="27"/>
      <c r="N110" s="1"/>
      <c r="O110" s="27"/>
      <c r="P110" s="27"/>
      <c r="Q110" s="27"/>
      <c r="R110" s="20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</row>
    <row r="111" spans="1:38" ht="15" customHeight="1">
      <c r="A111" s="24">
        <v>54</v>
      </c>
      <c r="B111" s="23" t="s">
        <v>81</v>
      </c>
      <c r="C111" s="24" t="s">
        <v>18</v>
      </c>
      <c r="D111" s="23"/>
      <c r="E111" s="23" t="s">
        <v>19</v>
      </c>
      <c r="F111" s="23" t="s">
        <v>120</v>
      </c>
      <c r="G111" s="23" t="s">
        <v>142</v>
      </c>
      <c r="H111" s="25">
        <v>0</v>
      </c>
      <c r="I111" s="1"/>
      <c r="J111" s="26"/>
      <c r="K111" s="27">
        <f t="shared" si="3"/>
        <v>0</v>
      </c>
      <c r="L111" s="27"/>
      <c r="M111" s="27"/>
      <c r="N111" s="1">
        <v>1</v>
      </c>
      <c r="O111" s="27">
        <f t="shared" si="4"/>
        <v>0</v>
      </c>
      <c r="P111" s="27"/>
      <c r="Q111" s="27"/>
      <c r="R111" s="20"/>
    </row>
    <row r="112" spans="1:38" ht="15" customHeight="1">
      <c r="A112" s="24"/>
      <c r="B112" s="23" t="s">
        <v>81</v>
      </c>
      <c r="C112" s="24" t="s">
        <v>18</v>
      </c>
      <c r="D112" s="23"/>
      <c r="E112" s="23" t="s">
        <v>19</v>
      </c>
      <c r="F112" s="23" t="s">
        <v>292</v>
      </c>
      <c r="G112" s="23" t="s">
        <v>122</v>
      </c>
      <c r="H112" s="25">
        <v>0</v>
      </c>
      <c r="I112" s="1"/>
      <c r="J112" s="26"/>
      <c r="K112" s="27"/>
      <c r="L112" s="27"/>
      <c r="M112" s="27"/>
      <c r="N112" s="1">
        <v>1</v>
      </c>
      <c r="O112" s="27"/>
      <c r="P112" s="27"/>
      <c r="Q112" s="27"/>
      <c r="R112" s="20"/>
    </row>
    <row r="113" spans="1:38" s="7" customFormat="1" ht="15" customHeight="1">
      <c r="A113" s="24">
        <v>55</v>
      </c>
      <c r="B113" s="23" t="s">
        <v>82</v>
      </c>
      <c r="C113" s="24" t="s">
        <v>18</v>
      </c>
      <c r="D113" s="23"/>
      <c r="E113" s="23" t="s">
        <v>19</v>
      </c>
      <c r="F113" s="23" t="s">
        <v>295</v>
      </c>
      <c r="G113" s="23" t="s">
        <v>142</v>
      </c>
      <c r="H113" s="25">
        <v>5</v>
      </c>
      <c r="I113" s="1">
        <v>6</v>
      </c>
      <c r="J113" s="26">
        <v>6</v>
      </c>
      <c r="K113" s="27">
        <f t="shared" si="3"/>
        <v>0</v>
      </c>
      <c r="L113" s="27"/>
      <c r="M113" s="27"/>
      <c r="N113" s="1">
        <v>1</v>
      </c>
      <c r="O113" s="27">
        <f t="shared" si="4"/>
        <v>0</v>
      </c>
      <c r="P113" s="27"/>
      <c r="Q113" s="27"/>
      <c r="R113" s="20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 spans="1:38" s="7" customFormat="1" ht="15" customHeight="1">
      <c r="A114" s="24"/>
      <c r="B114" s="23" t="s">
        <v>82</v>
      </c>
      <c r="C114" s="24" t="s">
        <v>18</v>
      </c>
      <c r="D114" s="23"/>
      <c r="E114" s="23" t="s">
        <v>19</v>
      </c>
      <c r="F114" s="23" t="s">
        <v>295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</row>
    <row r="115" spans="1:38" ht="14.45" customHeight="1">
      <c r="A115" s="24">
        <v>56</v>
      </c>
      <c r="B115" s="23" t="s">
        <v>83</v>
      </c>
      <c r="C115" s="24" t="s">
        <v>30</v>
      </c>
      <c r="D115" s="23" t="s">
        <v>184</v>
      </c>
      <c r="E115" s="23" t="s">
        <v>19</v>
      </c>
      <c r="F115" s="23" t="s">
        <v>123</v>
      </c>
      <c r="G115" s="23" t="s">
        <v>142</v>
      </c>
      <c r="H115" s="25">
        <v>20</v>
      </c>
      <c r="I115" s="1">
        <v>15</v>
      </c>
      <c r="J115" s="26">
        <v>15</v>
      </c>
      <c r="K115" s="27">
        <f t="shared" si="3"/>
        <v>0</v>
      </c>
      <c r="L115" s="27"/>
      <c r="M115" s="27"/>
      <c r="N115" s="1">
        <v>8</v>
      </c>
      <c r="O115" s="27">
        <f t="shared" si="4"/>
        <v>0</v>
      </c>
      <c r="P115" s="27"/>
      <c r="Q115" s="27"/>
      <c r="R115" s="20"/>
    </row>
    <row r="116" spans="1:38" ht="14.45" customHeight="1">
      <c r="A116" s="24">
        <v>57</v>
      </c>
      <c r="B116" s="23" t="s">
        <v>303</v>
      </c>
      <c r="C116" s="24" t="s">
        <v>18</v>
      </c>
      <c r="D116" s="23"/>
      <c r="E116" s="23" t="s">
        <v>304</v>
      </c>
      <c r="F116" s="23" t="s">
        <v>298</v>
      </c>
      <c r="G116" s="23" t="s">
        <v>131</v>
      </c>
      <c r="H116" s="25">
        <v>4</v>
      </c>
      <c r="I116" s="1"/>
      <c r="J116" s="26"/>
      <c r="K116" s="27"/>
      <c r="L116" s="27"/>
      <c r="M116" s="27"/>
      <c r="N116" s="1"/>
      <c r="O116" s="27"/>
      <c r="P116" s="27"/>
      <c r="Q116" s="27"/>
      <c r="R116" s="20"/>
    </row>
    <row r="117" spans="1:38" s="7" customFormat="1" ht="15" customHeight="1">
      <c r="A117" s="24">
        <v>58</v>
      </c>
      <c r="B117" s="23" t="s">
        <v>84</v>
      </c>
      <c r="C117" s="24" t="s">
        <v>18</v>
      </c>
      <c r="D117" s="23"/>
      <c r="E117" s="23" t="s">
        <v>19</v>
      </c>
      <c r="F117" s="23" t="s">
        <v>123</v>
      </c>
      <c r="G117" s="23" t="s">
        <v>142</v>
      </c>
      <c r="H117" s="25">
        <v>9</v>
      </c>
      <c r="I117" s="1">
        <v>6</v>
      </c>
      <c r="J117" s="26">
        <v>6</v>
      </c>
      <c r="K117" s="27">
        <f t="shared" si="3"/>
        <v>0</v>
      </c>
      <c r="L117" s="27"/>
      <c r="M117" s="27"/>
      <c r="N117" s="1">
        <v>8</v>
      </c>
      <c r="O117" s="27">
        <f t="shared" si="4"/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ht="15" customHeight="1">
      <c r="A118" s="24"/>
      <c r="B118" s="23" t="s">
        <v>84</v>
      </c>
      <c r="C118" s="24" t="s">
        <v>18</v>
      </c>
      <c r="D118" s="23"/>
      <c r="E118" s="23" t="s">
        <v>19</v>
      </c>
      <c r="F118" s="23" t="s">
        <v>123</v>
      </c>
      <c r="G118" s="23" t="s">
        <v>122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</row>
    <row r="119" spans="1:38" ht="15" customHeight="1">
      <c r="A119" s="24">
        <v>59</v>
      </c>
      <c r="B119" s="23" t="s">
        <v>85</v>
      </c>
      <c r="C119" s="24" t="s">
        <v>18</v>
      </c>
      <c r="D119" s="23"/>
      <c r="E119" s="23" t="s">
        <v>77</v>
      </c>
      <c r="F119" s="23" t="s">
        <v>120</v>
      </c>
      <c r="G119" s="23" t="s">
        <v>142</v>
      </c>
      <c r="H119" s="25">
        <v>7</v>
      </c>
      <c r="I119" s="1"/>
      <c r="J119" s="26"/>
      <c r="K119" s="27">
        <f t="shared" si="3"/>
        <v>0</v>
      </c>
      <c r="L119" s="27"/>
      <c r="M119" s="27"/>
      <c r="N119" s="1">
        <v>9</v>
      </c>
      <c r="O119" s="27">
        <f t="shared" si="4"/>
        <v>0</v>
      </c>
      <c r="P119" s="27"/>
      <c r="Q119" s="27"/>
      <c r="R119" s="20"/>
    </row>
    <row r="120" spans="1:38" ht="15" customHeight="1">
      <c r="A120" s="24"/>
      <c r="B120" s="23" t="s">
        <v>85</v>
      </c>
      <c r="C120" s="24" t="s">
        <v>18</v>
      </c>
      <c r="D120" s="23"/>
      <c r="E120" s="23" t="s">
        <v>301</v>
      </c>
      <c r="F120" s="23" t="s">
        <v>123</v>
      </c>
      <c r="G120" s="23" t="s">
        <v>131</v>
      </c>
      <c r="H120" s="25">
        <v>9</v>
      </c>
      <c r="I120" s="1"/>
      <c r="J120" s="26"/>
      <c r="K120" s="27">
        <f t="shared" si="3"/>
        <v>0</v>
      </c>
      <c r="L120" s="27"/>
      <c r="M120" s="27"/>
      <c r="N120" s="1">
        <v>5</v>
      </c>
      <c r="O120" s="27">
        <f t="shared" si="4"/>
        <v>0</v>
      </c>
      <c r="P120" s="27"/>
      <c r="Q120" s="27"/>
      <c r="R120" s="20"/>
    </row>
    <row r="121" spans="1:38" ht="15" customHeight="1">
      <c r="A121" s="24">
        <v>60</v>
      </c>
      <c r="B121" s="23" t="s">
        <v>86</v>
      </c>
      <c r="C121" s="24" t="s">
        <v>18</v>
      </c>
      <c r="D121" s="23"/>
      <c r="E121" s="23" t="s">
        <v>77</v>
      </c>
      <c r="F121" s="23" t="s">
        <v>295</v>
      </c>
      <c r="G121" s="23" t="s">
        <v>142</v>
      </c>
      <c r="H121" s="25">
        <v>2</v>
      </c>
      <c r="I121" s="1"/>
      <c r="J121" s="26"/>
      <c r="K121" s="27">
        <f t="shared" si="3"/>
        <v>0</v>
      </c>
      <c r="L121" s="27"/>
      <c r="M121" s="27"/>
      <c r="N121" s="1">
        <v>3</v>
      </c>
      <c r="O121" s="27">
        <f t="shared" si="4"/>
        <v>0</v>
      </c>
      <c r="P121" s="27"/>
      <c r="Q121" s="27"/>
      <c r="R121" s="20"/>
    </row>
    <row r="122" spans="1:38" ht="15" customHeight="1">
      <c r="A122" s="24"/>
      <c r="B122" s="23" t="s">
        <v>86</v>
      </c>
      <c r="C122" s="24" t="s">
        <v>18</v>
      </c>
      <c r="D122" s="23"/>
      <c r="E122" s="23" t="s">
        <v>301</v>
      </c>
      <c r="F122" s="23" t="s">
        <v>120</v>
      </c>
      <c r="G122" s="23" t="s">
        <v>131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/>
      <c r="O122" s="27">
        <f t="shared" si="4"/>
        <v>0</v>
      </c>
      <c r="P122" s="27"/>
      <c r="Q122" s="27"/>
      <c r="R122" s="20"/>
    </row>
    <row r="123" spans="1:38" ht="28.9" customHeight="1">
      <c r="A123" s="29">
        <v>61</v>
      </c>
      <c r="B123" s="30" t="s">
        <v>87</v>
      </c>
      <c r="C123" s="29" t="s">
        <v>52</v>
      </c>
      <c r="D123" s="30" t="s">
        <v>88</v>
      </c>
      <c r="E123" s="30" t="s">
        <v>19</v>
      </c>
      <c r="F123" s="30" t="s">
        <v>292</v>
      </c>
      <c r="G123" s="30" t="s">
        <v>142</v>
      </c>
      <c r="H123" s="25">
        <v>0</v>
      </c>
      <c r="I123" s="1"/>
      <c r="J123" s="26"/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</row>
    <row r="124" spans="1:38" ht="29.25" customHeight="1">
      <c r="A124" s="29"/>
      <c r="B124" s="30" t="s">
        <v>87</v>
      </c>
      <c r="C124" s="29" t="s">
        <v>52</v>
      </c>
      <c r="D124" s="30" t="s">
        <v>88</v>
      </c>
      <c r="E124" s="30" t="s">
        <v>19</v>
      </c>
      <c r="F124" s="30" t="s">
        <v>123</v>
      </c>
      <c r="G124" s="30" t="s">
        <v>122</v>
      </c>
      <c r="H124" s="25">
        <v>3</v>
      </c>
      <c r="I124" s="1"/>
      <c r="J124" s="26"/>
      <c r="K124" s="27">
        <f t="shared" si="3"/>
        <v>0</v>
      </c>
      <c r="L124" s="27"/>
      <c r="M124" s="27"/>
      <c r="N124" s="1">
        <v>1</v>
      </c>
      <c r="O124" s="27">
        <f t="shared" si="4"/>
        <v>0</v>
      </c>
      <c r="P124" s="27"/>
      <c r="Q124" s="27"/>
      <c r="R124" s="20"/>
    </row>
    <row r="125" spans="1:38" ht="26.25" customHeight="1">
      <c r="A125" s="24">
        <v>62</v>
      </c>
      <c r="B125" s="23" t="s">
        <v>89</v>
      </c>
      <c r="C125" s="24" t="s">
        <v>18</v>
      </c>
      <c r="D125" s="23"/>
      <c r="E125" s="23" t="s">
        <v>19</v>
      </c>
      <c r="F125" s="23" t="s">
        <v>292</v>
      </c>
      <c r="G125" s="23" t="s">
        <v>142</v>
      </c>
      <c r="H125" s="25">
        <v>2</v>
      </c>
      <c r="I125" s="1"/>
      <c r="J125" s="26"/>
      <c r="K125" s="27">
        <f t="shared" si="3"/>
        <v>0</v>
      </c>
      <c r="L125" s="27"/>
      <c r="M125" s="27"/>
      <c r="N125" s="1">
        <v>3</v>
      </c>
      <c r="O125" s="27">
        <f t="shared" si="4"/>
        <v>0</v>
      </c>
      <c r="P125" s="27"/>
      <c r="Q125" s="27"/>
      <c r="R125" s="20"/>
    </row>
    <row r="126" spans="1:38" s="7" customFormat="1" ht="15" customHeight="1">
      <c r="A126" s="24"/>
      <c r="B126" s="23" t="s">
        <v>89</v>
      </c>
      <c r="C126" s="24" t="s">
        <v>18</v>
      </c>
      <c r="D126" s="23"/>
      <c r="E126" s="23" t="s">
        <v>19</v>
      </c>
      <c r="F126" s="23" t="s">
        <v>120</v>
      </c>
      <c r="G126" s="23" t="s">
        <v>122</v>
      </c>
      <c r="H126" s="25">
        <v>1</v>
      </c>
      <c r="I126" s="1"/>
      <c r="J126" s="26"/>
      <c r="K126" s="27">
        <f t="shared" si="3"/>
        <v>0</v>
      </c>
      <c r="L126" s="27"/>
      <c r="M126" s="27"/>
      <c r="N126" s="1">
        <v>1</v>
      </c>
      <c r="O126" s="27">
        <f t="shared" si="4"/>
        <v>0</v>
      </c>
      <c r="P126" s="27"/>
      <c r="Q126" s="27"/>
      <c r="R126" s="20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 spans="1:38" ht="15" customHeight="1">
      <c r="A127" s="24">
        <v>63</v>
      </c>
      <c r="B127" s="23" t="s">
        <v>90</v>
      </c>
      <c r="C127" s="24" t="s">
        <v>18</v>
      </c>
      <c r="D127" s="23"/>
      <c r="E127" s="23" t="s">
        <v>19</v>
      </c>
      <c r="F127" s="23" t="s">
        <v>292</v>
      </c>
      <c r="G127" s="23" t="s">
        <v>142</v>
      </c>
      <c r="H127" s="25">
        <v>2</v>
      </c>
      <c r="I127" s="1"/>
      <c r="J127" s="26"/>
      <c r="K127" s="27">
        <f t="shared" si="3"/>
        <v>0</v>
      </c>
      <c r="L127" s="27"/>
      <c r="M127" s="27"/>
      <c r="N127" s="1">
        <v>1</v>
      </c>
      <c r="O127" s="27">
        <f t="shared" si="4"/>
        <v>0</v>
      </c>
      <c r="P127" s="27"/>
      <c r="Q127" s="27"/>
      <c r="R127" s="20"/>
    </row>
    <row r="128" spans="1:38" s="7" customFormat="1" ht="15" customHeight="1">
      <c r="A128" s="24">
        <v>64</v>
      </c>
      <c r="B128" s="23" t="s">
        <v>91</v>
      </c>
      <c r="C128" s="24" t="s">
        <v>18</v>
      </c>
      <c r="D128" s="23"/>
      <c r="E128" s="23" t="s">
        <v>92</v>
      </c>
      <c r="F128" s="23" t="s">
        <v>292</v>
      </c>
      <c r="G128" s="23" t="s">
        <v>142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>
        <v>10</v>
      </c>
      <c r="O128" s="27">
        <f t="shared" si="4"/>
        <v>0</v>
      </c>
      <c r="P128" s="27"/>
      <c r="Q128" s="27"/>
      <c r="R128" s="20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 spans="1:38" s="7" customFormat="1" ht="15" customHeight="1">
      <c r="A129" s="24"/>
      <c r="B129" s="23" t="s">
        <v>91</v>
      </c>
      <c r="C129" s="24" t="s">
        <v>18</v>
      </c>
      <c r="D129" s="23"/>
      <c r="E129" s="23" t="s">
        <v>92</v>
      </c>
      <c r="F129" s="23" t="s">
        <v>123</v>
      </c>
      <c r="G129" s="23" t="s">
        <v>136</v>
      </c>
      <c r="H129" s="25">
        <v>0</v>
      </c>
      <c r="I129" s="2"/>
      <c r="J129" s="26"/>
      <c r="K129" s="27">
        <f t="shared" si="3"/>
        <v>0</v>
      </c>
      <c r="L129" s="27"/>
      <c r="M129" s="27"/>
      <c r="N129" s="2">
        <v>2</v>
      </c>
      <c r="O129" s="27">
        <f t="shared" si="4"/>
        <v>0</v>
      </c>
      <c r="P129" s="27"/>
      <c r="Q129" s="27"/>
      <c r="R129" s="20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 spans="1:38" ht="15" customHeight="1">
      <c r="A130" s="24">
        <v>65</v>
      </c>
      <c r="B130" s="23" t="s">
        <v>93</v>
      </c>
      <c r="C130" s="24" t="s">
        <v>18</v>
      </c>
      <c r="D130" s="23"/>
      <c r="E130" s="23" t="s">
        <v>19</v>
      </c>
      <c r="F130" s="23" t="s">
        <v>123</v>
      </c>
      <c r="G130" s="23" t="s">
        <v>142</v>
      </c>
      <c r="H130" s="25">
        <v>0</v>
      </c>
      <c r="I130" s="2"/>
      <c r="J130" s="26"/>
      <c r="K130" s="27">
        <f t="shared" si="3"/>
        <v>0</v>
      </c>
      <c r="L130" s="27"/>
      <c r="M130" s="27"/>
      <c r="N130" s="2">
        <v>1</v>
      </c>
      <c r="O130" s="27">
        <f t="shared" si="4"/>
        <v>0</v>
      </c>
      <c r="P130" s="27"/>
      <c r="Q130" s="27"/>
      <c r="R130" s="20"/>
    </row>
    <row r="131" spans="1:38" s="17" customFormat="1" ht="15" customHeight="1">
      <c r="A131" s="24"/>
      <c r="B131" s="23" t="s">
        <v>93</v>
      </c>
      <c r="C131" s="24" t="s">
        <v>18</v>
      </c>
      <c r="D131" s="23"/>
      <c r="E131" s="23" t="s">
        <v>19</v>
      </c>
      <c r="F131" s="23" t="s">
        <v>120</v>
      </c>
      <c r="G131" s="23" t="s">
        <v>131</v>
      </c>
      <c r="H131" s="25">
        <v>0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20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</row>
    <row r="132" spans="1:38" ht="15" customHeight="1">
      <c r="A132" s="24"/>
      <c r="B132" s="23" t="s">
        <v>93</v>
      </c>
      <c r="C132" s="24" t="s">
        <v>18</v>
      </c>
      <c r="D132" s="23"/>
      <c r="E132" s="23"/>
      <c r="F132" s="23" t="s">
        <v>268</v>
      </c>
      <c r="G132" s="23" t="s">
        <v>122</v>
      </c>
      <c r="H132" s="25">
        <v>4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ht="15" customHeight="1">
      <c r="A133" s="24">
        <v>66</v>
      </c>
      <c r="B133" s="23" t="s">
        <v>281</v>
      </c>
      <c r="C133" s="24" t="s">
        <v>18</v>
      </c>
      <c r="D133" s="23"/>
      <c r="E133" s="23" t="s">
        <v>19</v>
      </c>
      <c r="F133" s="23" t="s">
        <v>123</v>
      </c>
      <c r="G133" s="23" t="s">
        <v>142</v>
      </c>
      <c r="H133" s="25">
        <v>3</v>
      </c>
      <c r="I133" s="1">
        <v>1</v>
      </c>
      <c r="J133" s="26">
        <v>1</v>
      </c>
      <c r="K133" s="27">
        <f t="shared" si="3"/>
        <v>0</v>
      </c>
      <c r="L133" s="27"/>
      <c r="M133" s="27"/>
      <c r="N133" s="1">
        <v>1</v>
      </c>
      <c r="O133" s="27">
        <f t="shared" si="4"/>
        <v>0</v>
      </c>
      <c r="P133" s="27"/>
      <c r="Q133" s="27"/>
      <c r="R133" s="20"/>
    </row>
    <row r="134" spans="1:38" ht="15" customHeight="1">
      <c r="A134" s="24"/>
      <c r="B134" s="23" t="s">
        <v>281</v>
      </c>
      <c r="C134" s="24" t="s">
        <v>18</v>
      </c>
      <c r="D134" s="23"/>
      <c r="E134" s="23" t="s">
        <v>19</v>
      </c>
      <c r="F134" s="23" t="s">
        <v>285</v>
      </c>
      <c r="G134" s="23" t="s">
        <v>131</v>
      </c>
      <c r="H134" s="25">
        <v>0</v>
      </c>
      <c r="I134" s="1"/>
      <c r="J134" s="26"/>
      <c r="K134" s="27">
        <f t="shared" si="3"/>
        <v>0</v>
      </c>
      <c r="L134" s="27"/>
      <c r="M134" s="27"/>
      <c r="N134" s="1">
        <v>1</v>
      </c>
      <c r="O134" s="27"/>
      <c r="P134" s="27"/>
      <c r="Q134" s="27"/>
      <c r="R134" s="20"/>
    </row>
    <row r="135" spans="1:38" ht="15" customHeight="1">
      <c r="A135" s="24"/>
      <c r="B135" s="23" t="s">
        <v>281</v>
      </c>
      <c r="C135" s="24" t="s">
        <v>18</v>
      </c>
      <c r="D135" s="23"/>
      <c r="E135" s="23" t="s">
        <v>19</v>
      </c>
      <c r="F135" s="23" t="s">
        <v>120</v>
      </c>
      <c r="G135" s="23" t="s">
        <v>122</v>
      </c>
      <c r="H135" s="25">
        <v>6</v>
      </c>
      <c r="I135" s="1"/>
      <c r="J135" s="26"/>
      <c r="K135" s="27">
        <f t="shared" si="3"/>
        <v>0</v>
      </c>
      <c r="L135" s="27"/>
      <c r="M135" s="27"/>
      <c r="N135" s="1"/>
      <c r="O135" s="27">
        <f t="shared" si="4"/>
        <v>0</v>
      </c>
      <c r="P135" s="27"/>
      <c r="Q135" s="27"/>
      <c r="R135" s="20"/>
    </row>
    <row r="136" spans="1:38" ht="15" customHeight="1">
      <c r="A136" s="24">
        <v>67</v>
      </c>
      <c r="B136" s="23" t="s">
        <v>94</v>
      </c>
      <c r="C136" s="24" t="s">
        <v>18</v>
      </c>
      <c r="D136" s="23"/>
      <c r="E136" s="23" t="s">
        <v>95</v>
      </c>
      <c r="F136" s="23" t="s">
        <v>292</v>
      </c>
      <c r="G136" s="23" t="s">
        <v>142</v>
      </c>
      <c r="H136" s="25">
        <v>9</v>
      </c>
      <c r="I136" s="1">
        <v>4</v>
      </c>
      <c r="J136" s="26">
        <v>4</v>
      </c>
      <c r="K136" s="27">
        <f t="shared" si="3"/>
        <v>0</v>
      </c>
      <c r="L136" s="27"/>
      <c r="M136" s="27"/>
      <c r="N136" s="1">
        <v>6</v>
      </c>
      <c r="O136" s="27">
        <f t="shared" si="4"/>
        <v>0</v>
      </c>
      <c r="P136" s="27"/>
      <c r="Q136" s="27"/>
      <c r="R136" s="20"/>
    </row>
    <row r="137" spans="1:38" s="7" customFormat="1" ht="15" customHeight="1">
      <c r="A137" s="24"/>
      <c r="B137" s="23" t="s">
        <v>128</v>
      </c>
      <c r="C137" s="24" t="s">
        <v>18</v>
      </c>
      <c r="D137" s="23"/>
      <c r="E137" s="23" t="s">
        <v>95</v>
      </c>
      <c r="F137" s="23" t="s">
        <v>319</v>
      </c>
      <c r="G137" s="23" t="s">
        <v>124</v>
      </c>
      <c r="H137" s="25">
        <v>1</v>
      </c>
      <c r="I137" s="1"/>
      <c r="J137" s="26"/>
      <c r="K137" s="27">
        <f t="shared" si="3"/>
        <v>0</v>
      </c>
      <c r="L137" s="27"/>
      <c r="M137" s="27"/>
      <c r="N137" s="1">
        <v>2</v>
      </c>
      <c r="O137" s="27">
        <f t="shared" si="4"/>
        <v>0</v>
      </c>
      <c r="P137" s="27"/>
      <c r="Q137" s="27"/>
      <c r="R137" s="20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 spans="1:38" ht="15" customHeight="1">
      <c r="A138" s="24"/>
      <c r="B138" s="23" t="s">
        <v>128</v>
      </c>
      <c r="C138" s="24" t="s">
        <v>18</v>
      </c>
      <c r="D138" s="23"/>
      <c r="E138" s="23" t="s">
        <v>95</v>
      </c>
      <c r="F138" s="23" t="s">
        <v>123</v>
      </c>
      <c r="G138" s="23" t="s">
        <v>131</v>
      </c>
      <c r="H138" s="25">
        <v>0</v>
      </c>
      <c r="I138" s="2"/>
      <c r="J138" s="26"/>
      <c r="K138" s="27">
        <f t="shared" si="3"/>
        <v>0</v>
      </c>
      <c r="L138" s="27"/>
      <c r="M138" s="27"/>
      <c r="N138" s="2"/>
      <c r="O138" s="27">
        <f t="shared" si="4"/>
        <v>0</v>
      </c>
      <c r="P138" s="27"/>
      <c r="Q138" s="27"/>
      <c r="R138" s="20"/>
    </row>
    <row r="139" spans="1:38" ht="15" customHeight="1">
      <c r="A139" s="24">
        <v>68</v>
      </c>
      <c r="B139" s="23" t="s">
        <v>96</v>
      </c>
      <c r="C139" s="24" t="s">
        <v>18</v>
      </c>
      <c r="D139" s="23"/>
      <c r="E139" s="23" t="s">
        <v>19</v>
      </c>
      <c r="F139" s="23" t="s">
        <v>120</v>
      </c>
      <c r="G139" s="23" t="s">
        <v>142</v>
      </c>
      <c r="H139" s="25">
        <v>3</v>
      </c>
      <c r="I139" s="1"/>
      <c r="J139" s="26"/>
      <c r="K139" s="27">
        <f t="shared" si="3"/>
        <v>0</v>
      </c>
      <c r="L139" s="27"/>
      <c r="M139" s="27"/>
      <c r="N139" s="1">
        <v>1</v>
      </c>
      <c r="O139" s="27">
        <f t="shared" si="4"/>
        <v>0</v>
      </c>
      <c r="P139" s="27"/>
      <c r="Q139" s="27"/>
      <c r="R139" s="20"/>
    </row>
    <row r="140" spans="1:38" ht="15" customHeight="1">
      <c r="A140" s="24"/>
      <c r="B140" s="23" t="s">
        <v>96</v>
      </c>
      <c r="C140" s="24" t="s">
        <v>18</v>
      </c>
      <c r="D140" s="23"/>
      <c r="E140" s="23" t="s">
        <v>19</v>
      </c>
      <c r="F140" s="23" t="s">
        <v>292</v>
      </c>
      <c r="G140" s="23" t="s">
        <v>131</v>
      </c>
      <c r="H140" s="25">
        <v>0</v>
      </c>
      <c r="I140" s="1"/>
      <c r="J140" s="26"/>
      <c r="K140" s="27">
        <f t="shared" si="3"/>
        <v>0</v>
      </c>
      <c r="L140" s="27"/>
      <c r="M140" s="27"/>
      <c r="N140" s="1">
        <v>1</v>
      </c>
      <c r="O140" s="27">
        <f t="shared" si="4"/>
        <v>0</v>
      </c>
      <c r="P140" s="27"/>
      <c r="Q140" s="27"/>
      <c r="R140" s="20"/>
    </row>
    <row r="141" spans="1:38" ht="15" customHeight="1">
      <c r="A141" s="24"/>
      <c r="B141" s="23" t="s">
        <v>96</v>
      </c>
      <c r="C141" s="24" t="s">
        <v>18</v>
      </c>
      <c r="D141" s="23"/>
      <c r="E141" s="23" t="s">
        <v>19</v>
      </c>
      <c r="F141" s="23" t="s">
        <v>292</v>
      </c>
      <c r="G141" s="23" t="s">
        <v>122</v>
      </c>
      <c r="H141" s="25">
        <v>3</v>
      </c>
      <c r="I141" s="1"/>
      <c r="J141" s="26"/>
      <c r="K141" s="27">
        <f t="shared" si="3"/>
        <v>0</v>
      </c>
      <c r="L141" s="27"/>
      <c r="M141" s="27"/>
      <c r="N141" s="1">
        <v>1</v>
      </c>
      <c r="O141" s="27">
        <f t="shared" si="4"/>
        <v>0</v>
      </c>
      <c r="P141" s="27"/>
      <c r="Q141" s="27"/>
      <c r="R141" s="20"/>
    </row>
    <row r="142" spans="1:38" ht="15" customHeight="1">
      <c r="A142" s="24"/>
      <c r="B142" s="23" t="s">
        <v>96</v>
      </c>
      <c r="C142" s="24" t="s">
        <v>18</v>
      </c>
      <c r="D142" s="23"/>
      <c r="E142" s="22" t="s">
        <v>19</v>
      </c>
      <c r="F142" s="23" t="s">
        <v>292</v>
      </c>
      <c r="G142" s="22" t="s">
        <v>136</v>
      </c>
      <c r="H142" s="45">
        <v>1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</row>
    <row r="143" spans="1:38" ht="15" customHeight="1">
      <c r="A143" s="24">
        <v>69</v>
      </c>
      <c r="B143" s="23" t="s">
        <v>97</v>
      </c>
      <c r="C143" s="24" t="s">
        <v>18</v>
      </c>
      <c r="D143" s="23"/>
      <c r="E143" s="23" t="s">
        <v>19</v>
      </c>
      <c r="F143" s="23" t="s">
        <v>120</v>
      </c>
      <c r="G143" s="23" t="s">
        <v>142</v>
      </c>
      <c r="H143" s="25">
        <v>3</v>
      </c>
      <c r="I143" s="1"/>
      <c r="J143" s="26"/>
      <c r="K143" s="27">
        <f t="shared" si="3"/>
        <v>0</v>
      </c>
      <c r="L143" s="27"/>
      <c r="M143" s="27"/>
      <c r="N143" s="1"/>
      <c r="O143" s="27">
        <f t="shared" si="4"/>
        <v>0</v>
      </c>
      <c r="P143" s="27"/>
      <c r="Q143" s="27"/>
      <c r="R143" s="20"/>
    </row>
    <row r="144" spans="1:38" ht="15" customHeight="1">
      <c r="A144" s="24">
        <v>70</v>
      </c>
      <c r="B144" s="23" t="s">
        <v>98</v>
      </c>
      <c r="C144" s="24" t="s">
        <v>18</v>
      </c>
      <c r="D144" s="23"/>
      <c r="E144" s="23" t="s">
        <v>19</v>
      </c>
      <c r="F144" s="23" t="s">
        <v>120</v>
      </c>
      <c r="G144" s="23" t="s">
        <v>142</v>
      </c>
      <c r="H144" s="25">
        <v>4</v>
      </c>
      <c r="I144" s="1">
        <v>4</v>
      </c>
      <c r="J144" s="26">
        <v>4</v>
      </c>
      <c r="K144" s="27">
        <f t="shared" si="3"/>
        <v>0</v>
      </c>
      <c r="L144" s="27"/>
      <c r="M144" s="27"/>
      <c r="N144" s="1">
        <v>3</v>
      </c>
      <c r="O144" s="27">
        <f t="shared" si="4"/>
        <v>0</v>
      </c>
      <c r="P144" s="27"/>
      <c r="Q144" s="27"/>
      <c r="R144" s="20"/>
    </row>
    <row r="145" spans="1:38" ht="15" customHeight="1">
      <c r="A145" s="24">
        <v>71</v>
      </c>
      <c r="B145" s="23" t="s">
        <v>99</v>
      </c>
      <c r="C145" s="24" t="s">
        <v>18</v>
      </c>
      <c r="D145" s="23"/>
      <c r="E145" s="23" t="s">
        <v>19</v>
      </c>
      <c r="F145" s="23" t="s">
        <v>120</v>
      </c>
      <c r="G145" s="23" t="s">
        <v>142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/>
      <c r="O145" s="27">
        <f t="shared" si="4"/>
        <v>0</v>
      </c>
      <c r="P145" s="27"/>
      <c r="Q145" s="27"/>
      <c r="R145" s="20"/>
    </row>
    <row r="146" spans="1:38" ht="24.6" customHeight="1">
      <c r="A146" s="29">
        <v>72</v>
      </c>
      <c r="B146" s="30" t="s">
        <v>100</v>
      </c>
      <c r="C146" s="29" t="s">
        <v>30</v>
      </c>
      <c r="D146" s="30" t="s">
        <v>101</v>
      </c>
      <c r="E146" s="30" t="s">
        <v>19</v>
      </c>
      <c r="F146" s="23" t="s">
        <v>120</v>
      </c>
      <c r="G146" s="30" t="s">
        <v>142</v>
      </c>
      <c r="H146" s="25">
        <v>0</v>
      </c>
      <c r="I146" s="1"/>
      <c r="J146" s="26"/>
      <c r="K146" s="27">
        <f t="shared" si="3"/>
        <v>0</v>
      </c>
      <c r="L146" s="27"/>
      <c r="M146" s="27"/>
      <c r="N146" s="1"/>
      <c r="O146" s="27">
        <f t="shared" si="4"/>
        <v>0</v>
      </c>
      <c r="P146" s="27"/>
      <c r="Q146" s="27"/>
      <c r="R146" s="20"/>
    </row>
    <row r="147" spans="1:38" s="7" customFormat="1" ht="29.25" customHeight="1">
      <c r="A147" s="29"/>
      <c r="B147" s="30" t="s">
        <v>100</v>
      </c>
      <c r="C147" s="29" t="s">
        <v>30</v>
      </c>
      <c r="D147" s="30" t="s">
        <v>101</v>
      </c>
      <c r="E147" s="30" t="s">
        <v>19</v>
      </c>
      <c r="F147" s="30" t="s">
        <v>292</v>
      </c>
      <c r="G147" s="30" t="s">
        <v>122</v>
      </c>
      <c r="H147" s="25">
        <v>0</v>
      </c>
      <c r="I147" s="1"/>
      <c r="J147" s="26"/>
      <c r="K147" s="27">
        <f t="shared" si="3"/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</row>
    <row r="148" spans="1:38" ht="26.25" customHeight="1">
      <c r="A148" s="46">
        <v>73</v>
      </c>
      <c r="B148" s="60" t="s">
        <v>144</v>
      </c>
      <c r="C148" s="46" t="s">
        <v>18</v>
      </c>
      <c r="D148" s="60"/>
      <c r="E148" s="60" t="s">
        <v>104</v>
      </c>
      <c r="F148" s="60" t="s">
        <v>120</v>
      </c>
      <c r="G148" s="60" t="s">
        <v>142</v>
      </c>
      <c r="H148" s="61">
        <v>0</v>
      </c>
      <c r="I148" s="1"/>
      <c r="J148" s="26"/>
      <c r="K148" s="27">
        <f t="shared" si="3"/>
        <v>0</v>
      </c>
      <c r="L148" s="63"/>
      <c r="M148" s="63"/>
      <c r="N148" s="1"/>
      <c r="O148" s="63">
        <f t="shared" si="4"/>
        <v>0</v>
      </c>
      <c r="P148" s="63"/>
      <c r="Q148" s="63"/>
      <c r="R148" s="20"/>
    </row>
    <row r="149" spans="1:38" ht="15.75" customHeight="1">
      <c r="A149" s="24">
        <v>74</v>
      </c>
      <c r="B149" s="23" t="s">
        <v>102</v>
      </c>
      <c r="C149" s="24" t="s">
        <v>18</v>
      </c>
      <c r="D149" s="23"/>
      <c r="E149" s="23" t="s">
        <v>19</v>
      </c>
      <c r="F149" s="60" t="s">
        <v>120</v>
      </c>
      <c r="G149" s="23" t="s">
        <v>142</v>
      </c>
      <c r="H149" s="25">
        <v>0</v>
      </c>
      <c r="I149" s="1"/>
      <c r="J149" s="26"/>
      <c r="K149" s="27">
        <f t="shared" si="3"/>
        <v>0</v>
      </c>
      <c r="L149" s="27"/>
      <c r="M149" s="27"/>
      <c r="N149" s="1"/>
      <c r="O149" s="27">
        <f t="shared" si="4"/>
        <v>0</v>
      </c>
      <c r="P149" s="27"/>
      <c r="Q149" s="27"/>
      <c r="R149" s="20"/>
    </row>
    <row r="150" spans="1:38" ht="15" customHeight="1">
      <c r="A150" s="24">
        <v>75</v>
      </c>
      <c r="B150" s="23" t="s">
        <v>103</v>
      </c>
      <c r="C150" s="24" t="s">
        <v>18</v>
      </c>
      <c r="D150" s="23"/>
      <c r="E150" s="23" t="s">
        <v>19</v>
      </c>
      <c r="F150" s="60" t="s">
        <v>120</v>
      </c>
      <c r="G150" s="23" t="s">
        <v>142</v>
      </c>
      <c r="H150" s="25">
        <v>0</v>
      </c>
      <c r="I150" s="1"/>
      <c r="J150" s="26"/>
      <c r="K150" s="27">
        <f t="shared" si="3"/>
        <v>0</v>
      </c>
      <c r="L150" s="27"/>
      <c r="M150" s="27"/>
      <c r="N150" s="1">
        <v>1</v>
      </c>
      <c r="O150" s="27">
        <f t="shared" si="4"/>
        <v>0</v>
      </c>
      <c r="P150" s="27"/>
      <c r="Q150" s="27"/>
      <c r="R150" s="20"/>
    </row>
    <row r="151" spans="1:38" ht="15" customHeight="1">
      <c r="A151" s="24"/>
      <c r="B151" s="23" t="s">
        <v>103</v>
      </c>
      <c r="C151" s="24" t="s">
        <v>18</v>
      </c>
      <c r="D151" s="23"/>
      <c r="E151" s="23" t="s">
        <v>19</v>
      </c>
      <c r="F151" s="23" t="s">
        <v>298</v>
      </c>
      <c r="G151" s="23" t="s">
        <v>122</v>
      </c>
      <c r="H151" s="25">
        <v>3</v>
      </c>
      <c r="I151" s="1"/>
      <c r="J151" s="26"/>
      <c r="K151" s="27">
        <f t="shared" si="3"/>
        <v>0</v>
      </c>
      <c r="L151" s="27"/>
      <c r="M151" s="27"/>
      <c r="N151" s="1"/>
      <c r="O151" s="27">
        <f t="shared" si="4"/>
        <v>0</v>
      </c>
      <c r="P151" s="27"/>
      <c r="Q151" s="27"/>
      <c r="R151" s="20"/>
    </row>
    <row r="152" spans="1:38" ht="15" customHeight="1">
      <c r="A152" s="24">
        <v>76</v>
      </c>
      <c r="B152" s="23" t="s">
        <v>302</v>
      </c>
      <c r="C152" s="24" t="s">
        <v>18</v>
      </c>
      <c r="D152" s="23"/>
      <c r="E152" s="23" t="s">
        <v>19</v>
      </c>
      <c r="F152" s="23" t="s">
        <v>311</v>
      </c>
      <c r="G152" s="23" t="s">
        <v>122</v>
      </c>
      <c r="H152" s="25">
        <v>4</v>
      </c>
      <c r="I152" s="1"/>
      <c r="J152" s="26"/>
      <c r="K152" s="27"/>
      <c r="L152" s="27"/>
      <c r="M152" s="27"/>
      <c r="N152" s="1"/>
      <c r="O152" s="27"/>
      <c r="P152" s="27"/>
      <c r="Q152" s="27"/>
      <c r="R152" s="20"/>
    </row>
    <row r="153" spans="1:38" ht="15" customHeight="1">
      <c r="A153" s="24">
        <v>77</v>
      </c>
      <c r="B153" s="23" t="s">
        <v>314</v>
      </c>
      <c r="C153" s="24" t="s">
        <v>18</v>
      </c>
      <c r="D153" s="23"/>
      <c r="E153" s="23" t="s">
        <v>19</v>
      </c>
      <c r="F153" s="23" t="s">
        <v>294</v>
      </c>
      <c r="G153" s="23" t="s">
        <v>142</v>
      </c>
      <c r="H153" s="25">
        <v>1</v>
      </c>
      <c r="I153" s="1"/>
      <c r="J153" s="26"/>
      <c r="K153" s="27"/>
      <c r="L153" s="27"/>
      <c r="M153" s="27"/>
      <c r="N153" s="1"/>
      <c r="O153" s="27"/>
      <c r="P153" s="27"/>
      <c r="Q153" s="27"/>
      <c r="R153" s="20"/>
    </row>
    <row r="154" spans="1:38" ht="24.75" customHeight="1">
      <c r="A154" s="29">
        <v>78</v>
      </c>
      <c r="B154" s="30" t="s">
        <v>105</v>
      </c>
      <c r="C154" s="29" t="s">
        <v>30</v>
      </c>
      <c r="D154" s="30" t="s">
        <v>106</v>
      </c>
      <c r="E154" s="30" t="s">
        <v>19</v>
      </c>
      <c r="F154" s="30" t="s">
        <v>123</v>
      </c>
      <c r="G154" s="30" t="s">
        <v>142</v>
      </c>
      <c r="H154" s="25">
        <v>3</v>
      </c>
      <c r="I154" s="1"/>
      <c r="J154" s="26"/>
      <c r="K154" s="27">
        <f t="shared" si="3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24.75" customHeight="1">
      <c r="A155" s="29">
        <v>79</v>
      </c>
      <c r="B155" s="30" t="s">
        <v>315</v>
      </c>
      <c r="C155" s="29" t="s">
        <v>18</v>
      </c>
      <c r="D155" s="30"/>
      <c r="E155" s="30" t="s">
        <v>19</v>
      </c>
      <c r="F155" s="30" t="s">
        <v>268</v>
      </c>
      <c r="G155" s="30" t="s">
        <v>142</v>
      </c>
      <c r="H155" s="25">
        <v>0</v>
      </c>
      <c r="I155" s="1"/>
      <c r="J155" s="26"/>
      <c r="K155" s="27"/>
      <c r="L155" s="27"/>
      <c r="M155" s="27"/>
      <c r="N155" s="1"/>
      <c r="O155" s="27"/>
      <c r="P155" s="27"/>
      <c r="Q155" s="27"/>
      <c r="R155" s="20"/>
    </row>
    <row r="156" spans="1:38" s="7" customFormat="1" ht="38.450000000000003" customHeight="1">
      <c r="A156" s="29">
        <v>80</v>
      </c>
      <c r="B156" s="30" t="s">
        <v>265</v>
      </c>
      <c r="C156" s="29" t="s">
        <v>18</v>
      </c>
      <c r="D156" s="30"/>
      <c r="E156" s="30" t="s">
        <v>19</v>
      </c>
      <c r="F156" s="30" t="s">
        <v>123</v>
      </c>
      <c r="G156" s="30" t="s">
        <v>142</v>
      </c>
      <c r="H156" s="25">
        <v>0</v>
      </c>
      <c r="I156" s="1"/>
      <c r="J156" s="26"/>
      <c r="K156" s="27">
        <f t="shared" ref="K156:K178" si="6">L156+M156</f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</row>
    <row r="157" spans="1:38" s="7" customFormat="1" ht="38.450000000000003" customHeight="1">
      <c r="A157" s="24">
        <v>81</v>
      </c>
      <c r="B157" s="23" t="s">
        <v>107</v>
      </c>
      <c r="C157" s="24" t="s">
        <v>18</v>
      </c>
      <c r="D157" s="23"/>
      <c r="E157" s="23" t="s">
        <v>41</v>
      </c>
      <c r="F157" s="30" t="s">
        <v>123</v>
      </c>
      <c r="G157" s="23" t="s">
        <v>142</v>
      </c>
      <c r="H157" s="25">
        <v>1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</row>
    <row r="158" spans="1:38" ht="15.75" customHeight="1">
      <c r="A158" s="24"/>
      <c r="B158" s="23" t="s">
        <v>107</v>
      </c>
      <c r="C158" s="24" t="s">
        <v>18</v>
      </c>
      <c r="D158" s="23"/>
      <c r="E158" s="23" t="s">
        <v>41</v>
      </c>
      <c r="F158" s="23" t="s">
        <v>295</v>
      </c>
      <c r="G158" s="23" t="s">
        <v>136</v>
      </c>
      <c r="H158" s="25">
        <v>4</v>
      </c>
      <c r="I158" s="2"/>
      <c r="J158" s="26"/>
      <c r="K158" s="27">
        <f t="shared" si="6"/>
        <v>0</v>
      </c>
      <c r="L158" s="27"/>
      <c r="M158" s="27"/>
      <c r="N158" s="2">
        <v>8</v>
      </c>
      <c r="O158" s="27">
        <f t="shared" si="4"/>
        <v>0</v>
      </c>
      <c r="P158" s="27"/>
      <c r="Q158" s="27"/>
      <c r="R158" s="20"/>
    </row>
    <row r="159" spans="1:38" ht="16.5" customHeight="1">
      <c r="A159" s="24">
        <v>82</v>
      </c>
      <c r="B159" s="23" t="s">
        <v>108</v>
      </c>
      <c r="C159" s="24" t="s">
        <v>18</v>
      </c>
      <c r="D159" s="23"/>
      <c r="E159" s="23" t="s">
        <v>19</v>
      </c>
      <c r="F159" s="23" t="s">
        <v>292</v>
      </c>
      <c r="G159" s="23" t="s">
        <v>142</v>
      </c>
      <c r="H159" s="25">
        <v>11</v>
      </c>
      <c r="I159" s="1">
        <v>8</v>
      </c>
      <c r="J159" s="26">
        <v>8</v>
      </c>
      <c r="K159" s="27">
        <f t="shared" si="6"/>
        <v>0</v>
      </c>
      <c r="L159" s="27"/>
      <c r="M159" s="27"/>
      <c r="N159" s="1">
        <v>3</v>
      </c>
      <c r="O159" s="27">
        <f t="shared" si="4"/>
        <v>0</v>
      </c>
      <c r="P159" s="27"/>
      <c r="Q159" s="27"/>
      <c r="R159" s="20"/>
    </row>
    <row r="160" spans="1:38" s="7" customFormat="1" ht="16.5" customHeight="1">
      <c r="A160" s="24"/>
      <c r="B160" s="23" t="s">
        <v>108</v>
      </c>
      <c r="C160" s="24" t="s">
        <v>18</v>
      </c>
      <c r="D160" s="23"/>
      <c r="E160" s="23" t="s">
        <v>19</v>
      </c>
      <c r="F160" s="23" t="s">
        <v>0</v>
      </c>
      <c r="G160" s="23" t="s">
        <v>122</v>
      </c>
      <c r="H160" s="25">
        <v>1</v>
      </c>
      <c r="I160" s="1"/>
      <c r="J160" s="26"/>
      <c r="K160" s="27">
        <f t="shared" si="6"/>
        <v>0</v>
      </c>
      <c r="L160" s="27"/>
      <c r="M160" s="27"/>
      <c r="N160" s="1">
        <v>2</v>
      </c>
      <c r="O160" s="27"/>
      <c r="P160" s="27"/>
      <c r="Q160" s="27"/>
      <c r="R160" s="20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s="7" customFormat="1" ht="16.5" customHeight="1">
      <c r="A161" s="24">
        <v>83</v>
      </c>
      <c r="B161" s="23" t="s">
        <v>146</v>
      </c>
      <c r="C161" s="24" t="s">
        <v>18</v>
      </c>
      <c r="D161" s="23"/>
      <c r="E161" s="23" t="s">
        <v>104</v>
      </c>
      <c r="F161" s="23" t="s">
        <v>291</v>
      </c>
      <c r="G161" s="23" t="s">
        <v>142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>
        <v>1</v>
      </c>
      <c r="O161" s="27">
        <f t="shared" si="4"/>
        <v>0</v>
      </c>
      <c r="P161" s="27"/>
      <c r="Q161" s="27"/>
      <c r="R161" s="20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</row>
    <row r="162" spans="1:38" ht="23.45" customHeight="1">
      <c r="A162" s="29">
        <v>84</v>
      </c>
      <c r="B162" s="30" t="s">
        <v>109</v>
      </c>
      <c r="C162" s="29" t="s">
        <v>52</v>
      </c>
      <c r="D162" s="30" t="s">
        <v>110</v>
      </c>
      <c r="E162" s="30" t="s">
        <v>19</v>
      </c>
      <c r="F162" s="30" t="s">
        <v>123</v>
      </c>
      <c r="G162" s="30" t="s">
        <v>142</v>
      </c>
      <c r="H162" s="25">
        <v>13</v>
      </c>
      <c r="I162" s="1">
        <v>8</v>
      </c>
      <c r="J162" s="26">
        <v>8</v>
      </c>
      <c r="K162" s="27">
        <f t="shared" si="6"/>
        <v>0</v>
      </c>
      <c r="L162" s="27"/>
      <c r="M162" s="27"/>
      <c r="N162" s="1">
        <v>9</v>
      </c>
      <c r="O162" s="27">
        <f t="shared" si="4"/>
        <v>0</v>
      </c>
      <c r="P162" s="27"/>
      <c r="Q162" s="27"/>
      <c r="R162" s="20"/>
    </row>
    <row r="163" spans="1:38" s="7" customFormat="1" ht="27" customHeight="1">
      <c r="A163" s="29"/>
      <c r="B163" s="30" t="s">
        <v>109</v>
      </c>
      <c r="C163" s="29" t="s">
        <v>52</v>
      </c>
      <c r="D163" s="30" t="s">
        <v>110</v>
      </c>
      <c r="E163" s="30" t="s">
        <v>19</v>
      </c>
      <c r="F163" s="30" t="s">
        <v>292</v>
      </c>
      <c r="G163" s="30" t="s">
        <v>122</v>
      </c>
      <c r="H163" s="25">
        <v>6</v>
      </c>
      <c r="I163" s="1"/>
      <c r="J163" s="26"/>
      <c r="K163" s="27">
        <f t="shared" si="6"/>
        <v>0</v>
      </c>
      <c r="L163" s="27"/>
      <c r="M163" s="27"/>
      <c r="N163" s="1">
        <v>6</v>
      </c>
      <c r="O163" s="27">
        <f t="shared" si="4"/>
        <v>0</v>
      </c>
      <c r="P163" s="27"/>
      <c r="Q163" s="27"/>
      <c r="R163" s="20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</row>
    <row r="164" spans="1:38" ht="27.75" customHeight="1">
      <c r="A164" s="24">
        <v>85</v>
      </c>
      <c r="B164" s="23" t="s">
        <v>111</v>
      </c>
      <c r="C164" s="24" t="s">
        <v>18</v>
      </c>
      <c r="D164" s="23"/>
      <c r="E164" s="23" t="s">
        <v>112</v>
      </c>
      <c r="F164" s="23" t="s">
        <v>268</v>
      </c>
      <c r="G164" s="23" t="s">
        <v>142</v>
      </c>
      <c r="H164" s="25">
        <v>2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20"/>
    </row>
    <row r="165" spans="1:38" ht="16.5" customHeight="1">
      <c r="A165" s="24"/>
      <c r="B165" s="23" t="s">
        <v>111</v>
      </c>
      <c r="C165" s="24" t="s">
        <v>18</v>
      </c>
      <c r="D165" s="23"/>
      <c r="E165" s="23" t="s">
        <v>112</v>
      </c>
      <c r="F165" s="23" t="s">
        <v>123</v>
      </c>
      <c r="G165" s="23" t="s">
        <v>136</v>
      </c>
      <c r="H165" s="25">
        <v>2</v>
      </c>
      <c r="I165" s="2"/>
      <c r="J165" s="26"/>
      <c r="K165" s="27">
        <f t="shared" si="6"/>
        <v>0</v>
      </c>
      <c r="L165" s="27"/>
      <c r="M165" s="27"/>
      <c r="N165" s="2">
        <v>2</v>
      </c>
      <c r="O165" s="27">
        <f t="shared" si="4"/>
        <v>0</v>
      </c>
      <c r="P165" s="27"/>
      <c r="Q165" s="27"/>
      <c r="R165" s="20"/>
    </row>
    <row r="166" spans="1:38" ht="16.5" customHeight="1">
      <c r="A166" s="24">
        <v>86</v>
      </c>
      <c r="B166" s="23" t="s">
        <v>113</v>
      </c>
      <c r="C166" s="24" t="s">
        <v>18</v>
      </c>
      <c r="D166" s="23"/>
      <c r="E166" s="23" t="s">
        <v>19</v>
      </c>
      <c r="F166" s="23" t="s">
        <v>120</v>
      </c>
      <c r="G166" s="23" t="s">
        <v>142</v>
      </c>
      <c r="H166" s="25">
        <v>0</v>
      </c>
      <c r="I166" s="1"/>
      <c r="J166" s="26"/>
      <c r="K166" s="27">
        <f t="shared" si="6"/>
        <v>0</v>
      </c>
      <c r="L166" s="27"/>
      <c r="M166" s="27"/>
      <c r="N166" s="1">
        <v>1</v>
      </c>
      <c r="O166" s="27">
        <f t="shared" si="4"/>
        <v>0</v>
      </c>
      <c r="P166" s="27"/>
      <c r="Q166" s="27"/>
      <c r="R166" s="20"/>
    </row>
    <row r="167" spans="1:38" ht="18.75" customHeight="1">
      <c r="A167" s="24"/>
      <c r="B167" s="23" t="s">
        <v>113</v>
      </c>
      <c r="C167" s="24" t="s">
        <v>18</v>
      </c>
      <c r="D167" s="23"/>
      <c r="E167" s="23" t="s">
        <v>19</v>
      </c>
      <c r="F167" s="23" t="s">
        <v>292</v>
      </c>
      <c r="G167" s="23" t="s">
        <v>122</v>
      </c>
      <c r="H167" s="25">
        <v>5</v>
      </c>
      <c r="I167" s="1"/>
      <c r="J167" s="26"/>
      <c r="K167" s="27">
        <f t="shared" si="6"/>
        <v>0</v>
      </c>
      <c r="L167" s="27"/>
      <c r="M167" s="27"/>
      <c r="N167" s="1">
        <v>3</v>
      </c>
      <c r="O167" s="27">
        <f t="shared" si="4"/>
        <v>0</v>
      </c>
      <c r="P167" s="27"/>
      <c r="Q167" s="27"/>
      <c r="R167" s="20"/>
    </row>
    <row r="168" spans="1:38" ht="12.6" customHeight="1">
      <c r="A168" s="24">
        <v>87</v>
      </c>
      <c r="B168" s="23" t="s">
        <v>114</v>
      </c>
      <c r="C168" s="24" t="s">
        <v>18</v>
      </c>
      <c r="D168" s="23"/>
      <c r="E168" s="23" t="s">
        <v>41</v>
      </c>
      <c r="F168" s="23" t="s">
        <v>268</v>
      </c>
      <c r="G168" s="23" t="s">
        <v>142</v>
      </c>
      <c r="H168" s="25">
        <v>1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20"/>
    </row>
    <row r="169" spans="1:38" ht="16.899999999999999" customHeight="1">
      <c r="A169" s="24"/>
      <c r="B169" s="23" t="s">
        <v>141</v>
      </c>
      <c r="C169" s="24" t="s">
        <v>18</v>
      </c>
      <c r="D169" s="23"/>
      <c r="E169" s="23" t="s">
        <v>41</v>
      </c>
      <c r="F169" s="23" t="s">
        <v>295</v>
      </c>
      <c r="G169" s="23" t="s">
        <v>136</v>
      </c>
      <c r="H169" s="25">
        <v>2</v>
      </c>
      <c r="I169" s="2"/>
      <c r="J169" s="26"/>
      <c r="K169" s="27">
        <f t="shared" si="6"/>
        <v>0</v>
      </c>
      <c r="L169" s="27"/>
      <c r="M169" s="27"/>
      <c r="N169" s="2">
        <v>1</v>
      </c>
      <c r="O169" s="27">
        <f t="shared" si="4"/>
        <v>0</v>
      </c>
      <c r="P169" s="27"/>
      <c r="Q169" s="27"/>
      <c r="R169" s="20"/>
    </row>
    <row r="170" spans="1:38" ht="16.899999999999999" customHeight="1">
      <c r="A170" s="24">
        <v>88</v>
      </c>
      <c r="B170" s="23" t="s">
        <v>309</v>
      </c>
      <c r="C170" s="24" t="s">
        <v>18</v>
      </c>
      <c r="D170" s="23"/>
      <c r="E170" s="23" t="s">
        <v>19</v>
      </c>
      <c r="F170" s="23" t="s">
        <v>310</v>
      </c>
      <c r="G170" s="23" t="s">
        <v>122</v>
      </c>
      <c r="H170" s="25">
        <v>1</v>
      </c>
      <c r="I170" s="2"/>
      <c r="J170" s="26"/>
      <c r="K170" s="27"/>
      <c r="L170" s="27"/>
      <c r="M170" s="27"/>
      <c r="N170" s="2"/>
      <c r="O170" s="27"/>
      <c r="P170" s="27"/>
      <c r="Q170" s="27"/>
      <c r="R170" s="20"/>
    </row>
    <row r="171" spans="1:38" ht="24.6" customHeight="1">
      <c r="A171" s="29">
        <v>89</v>
      </c>
      <c r="B171" s="30" t="s">
        <v>115</v>
      </c>
      <c r="C171" s="29" t="s">
        <v>52</v>
      </c>
      <c r="D171" s="30" t="s">
        <v>110</v>
      </c>
      <c r="E171" s="30" t="s">
        <v>19</v>
      </c>
      <c r="F171" s="30"/>
      <c r="G171" s="30" t="s">
        <v>142</v>
      </c>
      <c r="H171" s="25">
        <v>0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ref="O171:O175" si="7">P171+Q171</f>
        <v>0</v>
      </c>
      <c r="P171" s="27"/>
      <c r="Q171" s="27"/>
      <c r="R171" s="20"/>
    </row>
    <row r="172" spans="1:38" ht="32.25" customHeight="1">
      <c r="A172" s="29"/>
      <c r="B172" s="30" t="s">
        <v>115</v>
      </c>
      <c r="C172" s="29" t="s">
        <v>52</v>
      </c>
      <c r="D172" s="30" t="s">
        <v>110</v>
      </c>
      <c r="E172" s="30" t="s">
        <v>19</v>
      </c>
      <c r="F172" s="30" t="s">
        <v>292</v>
      </c>
      <c r="G172" s="30" t="s">
        <v>122</v>
      </c>
      <c r="H172" s="25">
        <v>0</v>
      </c>
      <c r="I172" s="1"/>
      <c r="J172" s="44"/>
      <c r="K172" s="27">
        <f t="shared" si="6"/>
        <v>0</v>
      </c>
      <c r="L172" s="27"/>
      <c r="M172" s="27"/>
      <c r="N172" s="1"/>
      <c r="O172" s="27">
        <f t="shared" si="7"/>
        <v>0</v>
      </c>
      <c r="P172" s="27"/>
      <c r="Q172" s="27"/>
      <c r="R172" s="20"/>
    </row>
    <row r="173" spans="1:38" ht="34.9" customHeight="1">
      <c r="A173" s="29">
        <v>90</v>
      </c>
      <c r="B173" s="30" t="s">
        <v>116</v>
      </c>
      <c r="C173" s="29" t="s">
        <v>52</v>
      </c>
      <c r="D173" s="30" t="s">
        <v>117</v>
      </c>
      <c r="E173" s="30" t="s">
        <v>19</v>
      </c>
      <c r="F173" s="30" t="s">
        <v>299</v>
      </c>
      <c r="G173" s="30" t="s">
        <v>142</v>
      </c>
      <c r="H173" s="25">
        <v>10</v>
      </c>
      <c r="I173" s="1">
        <v>5</v>
      </c>
      <c r="J173" s="44">
        <v>5</v>
      </c>
      <c r="K173" s="27">
        <f t="shared" si="6"/>
        <v>0</v>
      </c>
      <c r="L173" s="27"/>
      <c r="M173" s="27"/>
      <c r="N173" s="1"/>
      <c r="O173" s="27">
        <f t="shared" si="7"/>
        <v>0</v>
      </c>
      <c r="P173" s="27"/>
      <c r="Q173" s="27"/>
      <c r="R173" s="20"/>
    </row>
    <row r="174" spans="1:38" ht="28.5" customHeight="1">
      <c r="A174" s="29">
        <v>91</v>
      </c>
      <c r="B174" s="30" t="s">
        <v>209</v>
      </c>
      <c r="C174" s="29" t="s">
        <v>18</v>
      </c>
      <c r="D174" s="30"/>
      <c r="E174" s="30" t="s">
        <v>19</v>
      </c>
      <c r="F174" s="30" t="s">
        <v>123</v>
      </c>
      <c r="G174" s="30" t="s">
        <v>142</v>
      </c>
      <c r="H174" s="25">
        <v>0</v>
      </c>
      <c r="I174" s="1"/>
      <c r="J174" s="44"/>
      <c r="K174" s="27">
        <f t="shared" si="6"/>
        <v>0</v>
      </c>
      <c r="L174" s="27"/>
      <c r="M174" s="27"/>
      <c r="N174" s="1"/>
      <c r="O174" s="27">
        <f t="shared" si="7"/>
        <v>0</v>
      </c>
      <c r="P174" s="27"/>
      <c r="Q174" s="27"/>
      <c r="R174" s="20"/>
    </row>
    <row r="175" spans="1:38" ht="19.5" customHeight="1">
      <c r="A175" s="29">
        <v>92</v>
      </c>
      <c r="B175" s="30" t="s">
        <v>118</v>
      </c>
      <c r="C175" s="29" t="s">
        <v>18</v>
      </c>
      <c r="D175" s="30"/>
      <c r="E175" s="30" t="s">
        <v>41</v>
      </c>
      <c r="F175" s="30" t="s">
        <v>292</v>
      </c>
      <c r="G175" s="30" t="s">
        <v>142</v>
      </c>
      <c r="H175" s="25">
        <v>4</v>
      </c>
      <c r="I175" s="1">
        <v>1</v>
      </c>
      <c r="J175" s="44">
        <v>1</v>
      </c>
      <c r="K175" s="27">
        <f t="shared" si="6"/>
        <v>0</v>
      </c>
      <c r="L175" s="27"/>
      <c r="M175" s="27"/>
      <c r="N175" s="1">
        <v>15</v>
      </c>
      <c r="O175" s="27">
        <f t="shared" si="7"/>
        <v>0</v>
      </c>
      <c r="P175" s="27"/>
      <c r="Q175" s="27"/>
      <c r="R175" s="20"/>
    </row>
    <row r="176" spans="1:38" s="7" customFormat="1" ht="30.6" customHeight="1">
      <c r="A176" s="24"/>
      <c r="B176" s="23" t="s">
        <v>118</v>
      </c>
      <c r="C176" s="24" t="s">
        <v>18</v>
      </c>
      <c r="D176" s="23"/>
      <c r="E176" s="23" t="s">
        <v>41</v>
      </c>
      <c r="F176" s="23" t="s">
        <v>298</v>
      </c>
      <c r="G176" s="23" t="s">
        <v>124</v>
      </c>
      <c r="H176" s="25">
        <v>0</v>
      </c>
      <c r="I176" s="1"/>
      <c r="J176" s="44"/>
      <c r="K176" s="27">
        <f t="shared" si="6"/>
        <v>0</v>
      </c>
      <c r="L176" s="27"/>
      <c r="M176" s="27"/>
      <c r="N176" s="1"/>
      <c r="O176" s="27">
        <f>P176+Q176</f>
        <v>0</v>
      </c>
      <c r="P176" s="27"/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18" ht="27" customHeight="1">
      <c r="A177" s="24"/>
      <c r="B177" s="23" t="s">
        <v>118</v>
      </c>
      <c r="C177" s="24" t="s">
        <v>18</v>
      </c>
      <c r="D177" s="23"/>
      <c r="E177" s="23" t="s">
        <v>41</v>
      </c>
      <c r="F177" s="23" t="s">
        <v>123</v>
      </c>
      <c r="G177" s="23" t="s">
        <v>136</v>
      </c>
      <c r="H177" s="25">
        <v>0</v>
      </c>
      <c r="I177" s="2"/>
      <c r="J177" s="26"/>
      <c r="K177" s="27">
        <f t="shared" si="6"/>
        <v>0</v>
      </c>
      <c r="L177" s="27"/>
      <c r="M177" s="27"/>
      <c r="N177" s="2"/>
      <c r="O177" s="27">
        <f>P177+Q177</f>
        <v>0</v>
      </c>
      <c r="P177" s="27"/>
      <c r="Q177" s="27"/>
      <c r="R177" s="20"/>
    </row>
    <row r="178" spans="1:18" ht="18.75" customHeight="1" thickBot="1">
      <c r="A178" s="47"/>
      <c r="B178" s="99" t="s">
        <v>119</v>
      </c>
      <c r="C178" s="47" t="s">
        <v>18</v>
      </c>
      <c r="D178" s="99"/>
      <c r="E178" s="99" t="s">
        <v>19</v>
      </c>
      <c r="F178" s="99" t="s">
        <v>120</v>
      </c>
      <c r="G178" s="99" t="s">
        <v>122</v>
      </c>
      <c r="H178" s="100">
        <v>0</v>
      </c>
      <c r="I178" s="16"/>
      <c r="J178" s="101"/>
      <c r="K178" s="27">
        <f t="shared" si="6"/>
        <v>0</v>
      </c>
      <c r="L178" s="102"/>
      <c r="M178" s="102"/>
      <c r="N178" s="16"/>
      <c r="O178" s="102">
        <f>P178+Q178</f>
        <v>0</v>
      </c>
      <c r="P178" s="102"/>
      <c r="Q178" s="102"/>
      <c r="R178" s="20"/>
    </row>
    <row r="179" spans="1:18" ht="16.5" customHeight="1">
      <c r="A179" s="87" t="s">
        <v>145</v>
      </c>
      <c r="B179" s="87"/>
      <c r="C179" s="88"/>
      <c r="D179" s="89"/>
      <c r="E179" s="89"/>
      <c r="F179" s="89"/>
      <c r="G179" s="89"/>
      <c r="H179" s="88">
        <f>SUM(H10:H178)</f>
        <v>418</v>
      </c>
      <c r="I179" s="88">
        <f>SUM(I10:I178)</f>
        <v>103</v>
      </c>
      <c r="J179" s="88">
        <v>103</v>
      </c>
      <c r="K179" s="90">
        <f t="shared" ref="K179:Q179" si="8">SUM(K10:K178)</f>
        <v>0</v>
      </c>
      <c r="L179" s="90">
        <f t="shared" si="8"/>
        <v>0</v>
      </c>
      <c r="M179" s="88">
        <f t="shared" si="8"/>
        <v>0</v>
      </c>
      <c r="N179" s="88">
        <f t="shared" si="8"/>
        <v>342</v>
      </c>
      <c r="O179" s="88">
        <f t="shared" si="8"/>
        <v>0</v>
      </c>
      <c r="P179" s="88">
        <f t="shared" si="8"/>
        <v>0</v>
      </c>
      <c r="Q179" s="88">
        <f t="shared" si="8"/>
        <v>0</v>
      </c>
      <c r="R179" s="20"/>
    </row>
    <row r="180" spans="1:18" ht="15" customHeight="1">
      <c r="A180" s="5"/>
      <c r="B180" s="6"/>
      <c r="C180" s="5"/>
      <c r="D180" s="6"/>
      <c r="E180" s="6"/>
      <c r="F180" s="6"/>
      <c r="G180" s="6"/>
      <c r="H180" s="9"/>
      <c r="I180" s="9"/>
      <c r="J180" s="9"/>
      <c r="K180" s="9"/>
      <c r="L180" s="9"/>
      <c r="M180" s="11"/>
      <c r="N180" s="9"/>
      <c r="O180" s="9"/>
      <c r="P180" s="5"/>
      <c r="Q180" s="13"/>
      <c r="R180" s="20"/>
    </row>
    <row r="181" spans="1:18">
      <c r="R181" s="20"/>
    </row>
    <row r="182" spans="1:18">
      <c r="K182" s="15"/>
      <c r="L182" s="15"/>
      <c r="M182" s="19"/>
    </row>
    <row r="183" spans="1:18">
      <c r="K183" s="15"/>
      <c r="L183" s="15"/>
      <c r="N183" s="15"/>
      <c r="O183" s="15"/>
    </row>
    <row r="184" spans="1:18">
      <c r="K184" s="15"/>
      <c r="L184" s="15"/>
      <c r="N184" s="15"/>
    </row>
    <row r="185" spans="1:18">
      <c r="K185" s="15"/>
      <c r="L185" s="15"/>
    </row>
    <row r="186" spans="1:18">
      <c r="K186" s="15"/>
      <c r="L186" s="15"/>
    </row>
    <row r="187" spans="1:18">
      <c r="L187" s="15"/>
    </row>
    <row r="194" spans="12:12">
      <c r="L194" s="15"/>
    </row>
  </sheetData>
  <mergeCells count="8">
    <mergeCell ref="A179:B179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R205"/>
  <sheetViews>
    <sheetView topLeftCell="A63" zoomScale="80" zoomScaleNormal="80" workbookViewId="0">
      <selection activeCell="H63" sqref="A7:Q190"/>
    </sheetView>
  </sheetViews>
  <sheetFormatPr defaultColWidth="9" defaultRowHeight="15"/>
  <cols>
    <col min="1" max="1" width="4" style="4" customWidth="1"/>
    <col min="2" max="2" width="31.85546875" style="4" customWidth="1"/>
    <col min="3" max="3" width="13.7109375" style="4" customWidth="1"/>
    <col min="4" max="4" width="18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8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5</v>
      </c>
      <c r="I11" s="1"/>
      <c r="J11" s="26"/>
      <c r="K11" s="27">
        <f t="shared" ref="K11:K81" si="2">L11+M11</f>
        <v>0</v>
      </c>
      <c r="L11" s="27"/>
      <c r="M11" s="27"/>
      <c r="N11" s="1">
        <v>6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6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292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4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0</v>
      </c>
      <c r="P14" s="27"/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268</v>
      </c>
      <c r="G15" s="23" t="s">
        <v>136</v>
      </c>
      <c r="H15" s="25">
        <v>7</v>
      </c>
      <c r="I15" s="2"/>
      <c r="J15" s="26"/>
      <c r="K15" s="27">
        <f t="shared" si="2"/>
        <v>0</v>
      </c>
      <c r="L15" s="27"/>
      <c r="M15" s="27"/>
      <c r="N15" s="2">
        <v>9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10</v>
      </c>
      <c r="I16" s="1">
        <v>5</v>
      </c>
      <c r="J16" s="26">
        <v>5</v>
      </c>
      <c r="K16" s="27">
        <f t="shared" si="2"/>
        <v>0</v>
      </c>
      <c r="L16" s="27"/>
      <c r="M16" s="27"/>
      <c r="N16" s="1">
        <v>8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4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10</v>
      </c>
      <c r="I20" s="1"/>
      <c r="J20" s="26"/>
      <c r="K20" s="27">
        <f t="shared" si="2"/>
        <v>0</v>
      </c>
      <c r="L20" s="27"/>
      <c r="M20" s="27"/>
      <c r="N20" s="1">
        <v>6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292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1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4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6</v>
      </c>
      <c r="I27" s="1"/>
      <c r="J27" s="44"/>
      <c r="K27" s="27">
        <f t="shared" si="2"/>
        <v>0</v>
      </c>
      <c r="L27" s="27"/>
      <c r="M27" s="27"/>
      <c r="N27" s="1">
        <v>2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5</v>
      </c>
      <c r="I29" s="1"/>
      <c r="J29" s="26"/>
      <c r="K29" s="27">
        <f t="shared" si="2"/>
        <v>0</v>
      </c>
      <c r="L29" s="27"/>
      <c r="M29" s="27"/>
      <c r="N29" s="1">
        <v>2</v>
      </c>
      <c r="O29" s="27">
        <f t="shared" si="1"/>
        <v>0</v>
      </c>
      <c r="P29" s="27"/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123</v>
      </c>
      <c r="G31" s="23" t="s">
        <v>136</v>
      </c>
      <c r="H31" s="25">
        <v>5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8</v>
      </c>
      <c r="I32" s="1">
        <v>5</v>
      </c>
      <c r="J32" s="26">
        <v>5</v>
      </c>
      <c r="K32" s="27">
        <f t="shared" si="2"/>
        <v>0</v>
      </c>
      <c r="L32" s="27"/>
      <c r="M32" s="27"/>
      <c r="N32" s="1">
        <v>5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292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0</v>
      </c>
      <c r="P34" s="27"/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3</v>
      </c>
      <c r="I35" s="1"/>
      <c r="J35" s="26"/>
      <c r="K35" s="27">
        <f t="shared" si="2"/>
        <v>0</v>
      </c>
      <c r="L35" s="27"/>
      <c r="M35" s="27"/>
      <c r="N35" s="1">
        <v>3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292</v>
      </c>
      <c r="G37" s="23" t="s">
        <v>136</v>
      </c>
      <c r="H37" s="25">
        <v>3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3</v>
      </c>
      <c r="I38" s="1"/>
      <c r="J38" s="26"/>
      <c r="K38" s="27">
        <f t="shared" si="2"/>
        <v>0</v>
      </c>
      <c r="L38" s="27"/>
      <c r="M38" s="27"/>
      <c r="N38" s="1">
        <v>6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123</v>
      </c>
      <c r="G39" s="23" t="s">
        <v>136</v>
      </c>
      <c r="H39" s="25">
        <v>9</v>
      </c>
      <c r="I39" s="2"/>
      <c r="J39" s="26"/>
      <c r="K39" s="27">
        <f t="shared" si="2"/>
        <v>0</v>
      </c>
      <c r="L39" s="27"/>
      <c r="M39" s="27"/>
      <c r="N39" s="2">
        <v>2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2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3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1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2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294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>
        <v>2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120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268</v>
      </c>
      <c r="G48" s="23" t="s">
        <v>142</v>
      </c>
      <c r="H48" s="25">
        <v>2</v>
      </c>
      <c r="I48" s="1"/>
      <c r="J48" s="26"/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327</v>
      </c>
      <c r="G49" s="23" t="s">
        <v>122</v>
      </c>
      <c r="H49" s="25">
        <v>0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295</v>
      </c>
      <c r="G50" s="23" t="s">
        <v>142</v>
      </c>
      <c r="H50" s="25">
        <v>6</v>
      </c>
      <c r="I50" s="1">
        <v>2</v>
      </c>
      <c r="J50" s="26">
        <v>2</v>
      </c>
      <c r="K50" s="27">
        <f t="shared" si="2"/>
        <v>0</v>
      </c>
      <c r="L50" s="27"/>
      <c r="M50" s="27"/>
      <c r="N50" s="1">
        <v>4</v>
      </c>
      <c r="O50" s="27">
        <f t="shared" si="1"/>
        <v>0</v>
      </c>
      <c r="P50" s="27"/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292</v>
      </c>
      <c r="G53" s="23" t="s">
        <v>142</v>
      </c>
      <c r="H53" s="25">
        <v>3</v>
      </c>
      <c r="I53" s="1"/>
      <c r="J53" s="26"/>
      <c r="K53" s="27">
        <f t="shared" si="2"/>
        <v>0</v>
      </c>
      <c r="L53" s="27"/>
      <c r="M53" s="27"/>
      <c r="N53" s="1">
        <v>1</v>
      </c>
      <c r="O53" s="27">
        <f t="shared" si="1"/>
        <v>0</v>
      </c>
      <c r="P53" s="27"/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3</v>
      </c>
      <c r="I54" s="2"/>
      <c r="J54" s="26"/>
      <c r="K54" s="27">
        <f t="shared" si="2"/>
        <v>0</v>
      </c>
      <c r="L54" s="27"/>
      <c r="M54" s="27"/>
      <c r="N54" s="2"/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36</v>
      </c>
      <c r="F55" s="23" t="s">
        <v>321</v>
      </c>
      <c r="G55" s="23" t="s">
        <v>124</v>
      </c>
      <c r="H55" s="25">
        <v>0</v>
      </c>
      <c r="I55" s="2"/>
      <c r="J55" s="26"/>
      <c r="K55" s="27">
        <f t="shared" si="2"/>
        <v>0</v>
      </c>
      <c r="L55" s="27"/>
      <c r="M55" s="27"/>
      <c r="N55" s="2"/>
      <c r="O55" s="27">
        <f t="shared" si="1"/>
        <v>0</v>
      </c>
      <c r="P55" s="27"/>
      <c r="Q55" s="27"/>
      <c r="R55" s="20"/>
    </row>
    <row r="56" spans="1:38" s="8" customFormat="1">
      <c r="A56" s="78">
        <v>25</v>
      </c>
      <c r="B56" s="79" t="s">
        <v>147</v>
      </c>
      <c r="C56" s="80" t="s">
        <v>18</v>
      </c>
      <c r="D56" s="79"/>
      <c r="E56" s="79" t="s">
        <v>50</v>
      </c>
      <c r="F56" s="79"/>
      <c r="G56" s="79" t="s">
        <v>142</v>
      </c>
      <c r="H56" s="81">
        <v>0</v>
      </c>
      <c r="I56" s="82"/>
      <c r="J56" s="26"/>
      <c r="K56" s="27">
        <f t="shared" si="2"/>
        <v>0</v>
      </c>
      <c r="L56" s="83"/>
      <c r="M56" s="83"/>
      <c r="N56" s="26"/>
      <c r="O56" s="27">
        <f t="shared" si="1"/>
        <v>0</v>
      </c>
      <c r="P56" s="78"/>
      <c r="Q56" s="84"/>
      <c r="R56" s="20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8" customFormat="1">
      <c r="A57" s="78">
        <v>26</v>
      </c>
      <c r="B57" s="79" t="s">
        <v>332</v>
      </c>
      <c r="C57" s="80" t="s">
        <v>18</v>
      </c>
      <c r="D57" s="79"/>
      <c r="E57" s="79" t="s">
        <v>300</v>
      </c>
      <c r="F57" s="79" t="s">
        <v>268</v>
      </c>
      <c r="G57" s="79" t="s">
        <v>142</v>
      </c>
      <c r="H57" s="81">
        <v>2</v>
      </c>
      <c r="I57" s="82"/>
      <c r="J57" s="26"/>
      <c r="K57" s="27"/>
      <c r="L57" s="83"/>
      <c r="M57" s="83"/>
      <c r="N57" s="26"/>
      <c r="O57" s="27"/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7" customFormat="1" ht="24.75" customHeight="1">
      <c r="A58" s="29">
        <v>27</v>
      </c>
      <c r="B58" s="30" t="s">
        <v>51</v>
      </c>
      <c r="C58" s="29" t="s">
        <v>52</v>
      </c>
      <c r="D58" s="30" t="s">
        <v>53</v>
      </c>
      <c r="E58" s="30" t="s">
        <v>19</v>
      </c>
      <c r="F58" s="30" t="s">
        <v>292</v>
      </c>
      <c r="G58" s="30" t="s">
        <v>142</v>
      </c>
      <c r="H58" s="25">
        <v>11</v>
      </c>
      <c r="I58" s="1">
        <v>3</v>
      </c>
      <c r="J58" s="26">
        <v>3</v>
      </c>
      <c r="K58" s="27">
        <f t="shared" si="2"/>
        <v>0</v>
      </c>
      <c r="L58" s="27"/>
      <c r="M58" s="27"/>
      <c r="N58" s="1">
        <v>13</v>
      </c>
      <c r="O58" s="27">
        <f t="shared" si="1"/>
        <v>0</v>
      </c>
      <c r="P58" s="27"/>
      <c r="Q58" s="27"/>
      <c r="R58" s="20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</row>
    <row r="59" spans="1:38" ht="15" customHeight="1">
      <c r="A59" s="24">
        <v>28</v>
      </c>
      <c r="B59" s="23" t="s">
        <v>54</v>
      </c>
      <c r="C59" s="24" t="s">
        <v>18</v>
      </c>
      <c r="D59" s="23"/>
      <c r="E59" s="23" t="s">
        <v>19</v>
      </c>
      <c r="F59" s="23" t="s">
        <v>120</v>
      </c>
      <c r="G59" s="23" t="s">
        <v>142</v>
      </c>
      <c r="H59" s="25">
        <v>10</v>
      </c>
      <c r="I59" s="1">
        <v>3</v>
      </c>
      <c r="J59" s="26">
        <v>3</v>
      </c>
      <c r="K59" s="27">
        <f t="shared" si="2"/>
        <v>0</v>
      </c>
      <c r="L59" s="27"/>
      <c r="M59" s="27"/>
      <c r="N59" s="1">
        <v>2</v>
      </c>
      <c r="O59" s="27">
        <f t="shared" si="1"/>
        <v>0</v>
      </c>
      <c r="P59" s="27"/>
      <c r="Q59" s="27"/>
      <c r="R59" s="20"/>
    </row>
    <row r="60" spans="1:38" ht="15" customHeight="1">
      <c r="A60" s="24"/>
      <c r="B60" s="23" t="s">
        <v>54</v>
      </c>
      <c r="C60" s="24" t="s">
        <v>18</v>
      </c>
      <c r="D60" s="23"/>
      <c r="E60" s="23" t="s">
        <v>19</v>
      </c>
      <c r="F60" s="23" t="s">
        <v>292</v>
      </c>
      <c r="G60" s="23" t="s">
        <v>122</v>
      </c>
      <c r="H60" s="25">
        <v>3</v>
      </c>
      <c r="I60" s="1"/>
      <c r="J60" s="26"/>
      <c r="K60" s="27">
        <f t="shared" si="2"/>
        <v>0</v>
      </c>
      <c r="L60" s="27"/>
      <c r="M60" s="27"/>
      <c r="N60" s="1">
        <v>2</v>
      </c>
      <c r="O60" s="27">
        <f t="shared" si="1"/>
        <v>0</v>
      </c>
      <c r="P60" s="27"/>
      <c r="Q60" s="27"/>
      <c r="R60" s="20"/>
    </row>
    <row r="61" spans="1:38" s="7" customFormat="1" ht="15" customHeight="1">
      <c r="A61" s="24">
        <v>29</v>
      </c>
      <c r="B61" s="23" t="s">
        <v>55</v>
      </c>
      <c r="C61" s="24" t="s">
        <v>18</v>
      </c>
      <c r="D61" s="23"/>
      <c r="E61" s="23" t="s">
        <v>19</v>
      </c>
      <c r="F61" s="23" t="s">
        <v>292</v>
      </c>
      <c r="G61" s="23" t="s">
        <v>142</v>
      </c>
      <c r="H61" s="25">
        <v>2</v>
      </c>
      <c r="I61" s="1"/>
      <c r="J61" s="26"/>
      <c r="K61" s="27">
        <f t="shared" si="2"/>
        <v>0</v>
      </c>
      <c r="L61" s="27"/>
      <c r="M61" s="27"/>
      <c r="N61" s="1">
        <v>1</v>
      </c>
      <c r="O61" s="27">
        <f t="shared" si="1"/>
        <v>0</v>
      </c>
      <c r="P61" s="27"/>
      <c r="Q61" s="27"/>
      <c r="R61" s="20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 spans="1:38" ht="15.6" customHeight="1">
      <c r="A62" s="24"/>
      <c r="B62" s="23" t="s">
        <v>55</v>
      </c>
      <c r="C62" s="24" t="s">
        <v>18</v>
      </c>
      <c r="D62" s="23"/>
      <c r="E62" s="23" t="s">
        <v>19</v>
      </c>
      <c r="F62" s="23" t="s">
        <v>292</v>
      </c>
      <c r="G62" s="23" t="s">
        <v>122</v>
      </c>
      <c r="H62" s="25">
        <v>5</v>
      </c>
      <c r="I62" s="1"/>
      <c r="J62" s="26"/>
      <c r="K62" s="27">
        <f t="shared" si="2"/>
        <v>0</v>
      </c>
      <c r="L62" s="27"/>
      <c r="M62" s="27"/>
      <c r="N62" s="1">
        <v>1</v>
      </c>
      <c r="O62" s="27">
        <f t="shared" si="1"/>
        <v>0</v>
      </c>
      <c r="P62" s="27"/>
      <c r="Q62" s="27"/>
      <c r="R62" s="20"/>
    </row>
    <row r="63" spans="1:38" s="7" customFormat="1" ht="15" customHeight="1">
      <c r="A63" s="24">
        <v>30</v>
      </c>
      <c r="B63" s="23" t="s">
        <v>56</v>
      </c>
      <c r="C63" s="24" t="s">
        <v>52</v>
      </c>
      <c r="D63" s="23" t="s">
        <v>57</v>
      </c>
      <c r="E63" s="23" t="s">
        <v>19</v>
      </c>
      <c r="F63" s="23" t="s">
        <v>120</v>
      </c>
      <c r="G63" s="23" t="s">
        <v>142</v>
      </c>
      <c r="H63" s="25">
        <v>2</v>
      </c>
      <c r="I63" s="1"/>
      <c r="J63" s="26"/>
      <c r="K63" s="27">
        <f t="shared" si="2"/>
        <v>0</v>
      </c>
      <c r="L63" s="27"/>
      <c r="M63" s="27"/>
      <c r="N63" s="1">
        <v>4</v>
      </c>
      <c r="O63" s="27">
        <f t="shared" si="1"/>
        <v>0</v>
      </c>
      <c r="P63" s="27"/>
      <c r="Q63" s="27"/>
      <c r="R63" s="20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 spans="1:38" s="7" customFormat="1" ht="15" customHeight="1">
      <c r="A64" s="24">
        <v>31</v>
      </c>
      <c r="B64" s="23" t="s">
        <v>58</v>
      </c>
      <c r="C64" s="24" t="s">
        <v>18</v>
      </c>
      <c r="D64" s="23"/>
      <c r="E64" s="23" t="s">
        <v>19</v>
      </c>
      <c r="F64" s="23" t="s">
        <v>292</v>
      </c>
      <c r="G64" s="23" t="s">
        <v>142</v>
      </c>
      <c r="H64" s="25">
        <v>4</v>
      </c>
      <c r="I64" s="1"/>
      <c r="J64" s="26"/>
      <c r="K64" s="27">
        <f t="shared" si="2"/>
        <v>0</v>
      </c>
      <c r="L64" s="27"/>
      <c r="M64" s="27"/>
      <c r="N64" s="1">
        <v>4</v>
      </c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s="7" customFormat="1" ht="15" customHeight="1">
      <c r="A65" s="24"/>
      <c r="B65" s="23" t="s">
        <v>58</v>
      </c>
      <c r="C65" s="24" t="s">
        <v>18</v>
      </c>
      <c r="D65" s="23"/>
      <c r="E65" s="23" t="s">
        <v>19</v>
      </c>
      <c r="F65" s="23" t="s">
        <v>292</v>
      </c>
      <c r="G65" s="23" t="s">
        <v>122</v>
      </c>
      <c r="H65" s="25">
        <v>1</v>
      </c>
      <c r="I65" s="1"/>
      <c r="J65" s="26"/>
      <c r="K65" s="27">
        <f t="shared" si="2"/>
        <v>0</v>
      </c>
      <c r="L65" s="27"/>
      <c r="M65" s="27"/>
      <c r="N65" s="1">
        <v>3</v>
      </c>
      <c r="O65" s="27">
        <f t="shared" si="1"/>
        <v>0</v>
      </c>
      <c r="P65" s="27"/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ht="15" customHeight="1">
      <c r="A66" s="24">
        <v>32</v>
      </c>
      <c r="B66" s="23" t="s">
        <v>59</v>
      </c>
      <c r="C66" s="24" t="s">
        <v>18</v>
      </c>
      <c r="D66" s="23"/>
      <c r="E66" s="23" t="s">
        <v>60</v>
      </c>
      <c r="F66" s="23" t="s">
        <v>292</v>
      </c>
      <c r="G66" s="23" t="s">
        <v>142</v>
      </c>
      <c r="H66" s="25">
        <v>6</v>
      </c>
      <c r="I66" s="1"/>
      <c r="J66" s="26"/>
      <c r="K66" s="27">
        <f t="shared" si="2"/>
        <v>0</v>
      </c>
      <c r="L66" s="27"/>
      <c r="M66" s="27"/>
      <c r="N66" s="1">
        <v>1</v>
      </c>
      <c r="O66" s="27">
        <f t="shared" si="1"/>
        <v>0</v>
      </c>
      <c r="P66" s="27"/>
      <c r="Q66" s="27"/>
      <c r="R66" s="20"/>
    </row>
    <row r="67" spans="1:38" ht="15" customHeight="1">
      <c r="A67" s="24"/>
      <c r="B67" s="23" t="s">
        <v>139</v>
      </c>
      <c r="C67" s="24" t="s">
        <v>18</v>
      </c>
      <c r="D67" s="23"/>
      <c r="E67" s="23" t="s">
        <v>60</v>
      </c>
      <c r="F67" s="23" t="s">
        <v>292</v>
      </c>
      <c r="G67" s="23" t="s">
        <v>136</v>
      </c>
      <c r="H67" s="25">
        <v>5</v>
      </c>
      <c r="I67" s="2"/>
      <c r="J67" s="26"/>
      <c r="K67" s="27">
        <f t="shared" si="2"/>
        <v>0</v>
      </c>
      <c r="L67" s="27"/>
      <c r="M67" s="27"/>
      <c r="N67" s="2"/>
      <c r="O67" s="27">
        <f t="shared" si="1"/>
        <v>0</v>
      </c>
      <c r="P67" s="27"/>
      <c r="Q67" s="27"/>
      <c r="R67" s="20"/>
    </row>
    <row r="68" spans="1:38" ht="15" customHeight="1">
      <c r="A68" s="24">
        <v>33</v>
      </c>
      <c r="B68" s="23" t="s">
        <v>333</v>
      </c>
      <c r="C68" s="24" t="s">
        <v>18</v>
      </c>
      <c r="D68" s="23"/>
      <c r="E68" s="23" t="s">
        <v>104</v>
      </c>
      <c r="F68" s="23" t="s">
        <v>268</v>
      </c>
      <c r="G68" s="23" t="s">
        <v>142</v>
      </c>
      <c r="H68" s="25">
        <v>1</v>
      </c>
      <c r="I68" s="2"/>
      <c r="J68" s="26"/>
      <c r="K68" s="27"/>
      <c r="L68" s="27"/>
      <c r="M68" s="27"/>
      <c r="N68" s="2"/>
      <c r="O68" s="27"/>
      <c r="P68" s="27"/>
      <c r="Q68" s="27"/>
      <c r="R68" s="20"/>
    </row>
    <row r="69" spans="1:38" s="7" customFormat="1" ht="15" customHeight="1">
      <c r="A69" s="24">
        <v>34</v>
      </c>
      <c r="B69" s="23" t="s">
        <v>61</v>
      </c>
      <c r="C69" s="24" t="s">
        <v>18</v>
      </c>
      <c r="D69" s="23"/>
      <c r="E69" s="23" t="s">
        <v>41</v>
      </c>
      <c r="F69" s="23" t="s">
        <v>268</v>
      </c>
      <c r="G69" s="23" t="s">
        <v>142</v>
      </c>
      <c r="H69" s="25">
        <v>5</v>
      </c>
      <c r="I69" s="1">
        <v>2</v>
      </c>
      <c r="J69" s="26">
        <v>2</v>
      </c>
      <c r="K69" s="27">
        <f t="shared" si="2"/>
        <v>0</v>
      </c>
      <c r="L69" s="27"/>
      <c r="M69" s="27"/>
      <c r="N69" s="1">
        <v>10</v>
      </c>
      <c r="O69" s="27">
        <f t="shared" si="1"/>
        <v>0</v>
      </c>
      <c r="P69" s="27"/>
      <c r="Q69" s="27"/>
      <c r="R69" s="20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</row>
    <row r="70" spans="1:38" ht="15" customHeight="1">
      <c r="A70" s="24"/>
      <c r="B70" s="23" t="s">
        <v>61</v>
      </c>
      <c r="C70" s="24" t="s">
        <v>18</v>
      </c>
      <c r="D70" s="23"/>
      <c r="E70" s="23" t="s">
        <v>41</v>
      </c>
      <c r="F70" s="23" t="s">
        <v>292</v>
      </c>
      <c r="G70" s="23" t="s">
        <v>136</v>
      </c>
      <c r="H70" s="25">
        <v>0</v>
      </c>
      <c r="I70" s="2"/>
      <c r="J70" s="26"/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20"/>
    </row>
    <row r="71" spans="1:38" ht="15" customHeight="1">
      <c r="A71" s="24">
        <v>35</v>
      </c>
      <c r="B71" s="23" t="s">
        <v>62</v>
      </c>
      <c r="C71" s="24" t="s">
        <v>18</v>
      </c>
      <c r="D71" s="23"/>
      <c r="E71" s="23" t="s">
        <v>19</v>
      </c>
      <c r="F71" s="23" t="s">
        <v>292</v>
      </c>
      <c r="G71" s="23" t="s">
        <v>142</v>
      </c>
      <c r="H71" s="25">
        <v>9</v>
      </c>
      <c r="I71" s="1">
        <v>1</v>
      </c>
      <c r="J71" s="26">
        <v>1</v>
      </c>
      <c r="K71" s="27">
        <f t="shared" si="2"/>
        <v>0</v>
      </c>
      <c r="L71" s="27"/>
      <c r="M71" s="27"/>
      <c r="N71" s="1">
        <v>2</v>
      </c>
      <c r="O71" s="27">
        <f t="shared" si="1"/>
        <v>0</v>
      </c>
      <c r="P71" s="27"/>
      <c r="Q71" s="27"/>
      <c r="R71" s="20"/>
    </row>
    <row r="72" spans="1:38" ht="15" customHeight="1">
      <c r="A72" s="24"/>
      <c r="B72" s="23" t="s">
        <v>62</v>
      </c>
      <c r="C72" s="24" t="s">
        <v>18</v>
      </c>
      <c r="D72" s="23"/>
      <c r="E72" s="23" t="s">
        <v>19</v>
      </c>
      <c r="F72" s="23" t="s">
        <v>277</v>
      </c>
      <c r="G72" s="23" t="s">
        <v>124</v>
      </c>
      <c r="H72" s="25">
        <v>0</v>
      </c>
      <c r="I72" s="1"/>
      <c r="J72" s="26"/>
      <c r="K72" s="27">
        <f t="shared" si="2"/>
        <v>0</v>
      </c>
      <c r="L72" s="27"/>
      <c r="M72" s="27"/>
      <c r="N72" s="1"/>
      <c r="O72" s="27">
        <f t="shared" si="1"/>
        <v>0</v>
      </c>
      <c r="P72" s="27"/>
      <c r="Q72" s="27"/>
      <c r="R72" s="20"/>
    </row>
    <row r="73" spans="1:38" ht="15" customHeight="1">
      <c r="A73" s="24"/>
      <c r="B73" s="23" t="s">
        <v>62</v>
      </c>
      <c r="C73" s="24" t="s">
        <v>18</v>
      </c>
      <c r="D73" s="23"/>
      <c r="E73" s="23" t="s">
        <v>19</v>
      </c>
      <c r="F73" s="23" t="s">
        <v>120</v>
      </c>
      <c r="G73" s="23" t="s">
        <v>122</v>
      </c>
      <c r="H73" s="25">
        <v>2</v>
      </c>
      <c r="I73" s="1"/>
      <c r="J73" s="26"/>
      <c r="K73" s="27">
        <f t="shared" si="2"/>
        <v>0</v>
      </c>
      <c r="L73" s="27"/>
      <c r="M73" s="27"/>
      <c r="N73" s="1">
        <v>3</v>
      </c>
      <c r="O73" s="27">
        <f t="shared" si="1"/>
        <v>0</v>
      </c>
      <c r="P73" s="27"/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292</v>
      </c>
      <c r="G74" s="23" t="s">
        <v>210</v>
      </c>
      <c r="H74" s="25">
        <v>2</v>
      </c>
      <c r="I74" s="1"/>
      <c r="J74" s="26"/>
      <c r="K74" s="27">
        <f t="shared" si="2"/>
        <v>0</v>
      </c>
      <c r="L74" s="27"/>
      <c r="M74" s="27"/>
      <c r="N74" s="1">
        <v>3</v>
      </c>
      <c r="O74" s="27">
        <f t="shared" si="1"/>
        <v>0</v>
      </c>
      <c r="P74" s="27"/>
      <c r="Q74" s="27"/>
      <c r="R74" s="20"/>
    </row>
    <row r="75" spans="1:38" ht="15" customHeight="1">
      <c r="A75" s="24">
        <v>36</v>
      </c>
      <c r="B75" s="23" t="s">
        <v>63</v>
      </c>
      <c r="C75" s="24" t="s">
        <v>18</v>
      </c>
      <c r="D75" s="23"/>
      <c r="E75" s="23" t="s">
        <v>41</v>
      </c>
      <c r="F75" s="23" t="s">
        <v>120</v>
      </c>
      <c r="G75" s="23" t="s">
        <v>142</v>
      </c>
      <c r="H75" s="25">
        <v>5</v>
      </c>
      <c r="I75" s="1">
        <v>2</v>
      </c>
      <c r="J75" s="26">
        <v>2</v>
      </c>
      <c r="K75" s="27">
        <f t="shared" si="2"/>
        <v>0</v>
      </c>
      <c r="L75" s="27"/>
      <c r="M75" s="27"/>
      <c r="N75" s="1">
        <v>8</v>
      </c>
      <c r="O75" s="27">
        <f t="shared" si="1"/>
        <v>0</v>
      </c>
      <c r="P75" s="27"/>
      <c r="Q75" s="27"/>
      <c r="R75" s="20"/>
    </row>
    <row r="76" spans="1:38" ht="15" customHeight="1">
      <c r="A76" s="24"/>
      <c r="B76" s="23" t="s">
        <v>63</v>
      </c>
      <c r="C76" s="24" t="s">
        <v>18</v>
      </c>
      <c r="D76" s="23"/>
      <c r="E76" s="23" t="s">
        <v>41</v>
      </c>
      <c r="F76" s="23" t="s">
        <v>120</v>
      </c>
      <c r="G76" s="23" t="s">
        <v>136</v>
      </c>
      <c r="H76" s="25">
        <v>2</v>
      </c>
      <c r="I76" s="2"/>
      <c r="J76" s="26"/>
      <c r="K76" s="27">
        <f t="shared" si="2"/>
        <v>0</v>
      </c>
      <c r="L76" s="27"/>
      <c r="M76" s="27"/>
      <c r="N76" s="2">
        <v>5</v>
      </c>
      <c r="O76" s="27">
        <f t="shared" si="1"/>
        <v>0</v>
      </c>
      <c r="P76" s="27"/>
      <c r="Q76" s="27"/>
      <c r="R76" s="20"/>
    </row>
    <row r="77" spans="1:38" s="17" customFormat="1" ht="15" customHeight="1">
      <c r="A77" s="24">
        <v>37</v>
      </c>
      <c r="B77" s="23" t="s">
        <v>64</v>
      </c>
      <c r="C77" s="24" t="s">
        <v>18</v>
      </c>
      <c r="D77" s="23"/>
      <c r="E77" s="23" t="s">
        <v>41</v>
      </c>
      <c r="F77" s="23" t="s">
        <v>123</v>
      </c>
      <c r="G77" s="23" t="s">
        <v>142</v>
      </c>
      <c r="H77" s="25">
        <v>0</v>
      </c>
      <c r="I77" s="2"/>
      <c r="J77" s="26"/>
      <c r="K77" s="27">
        <f t="shared" si="2"/>
        <v>0</v>
      </c>
      <c r="L77" s="27"/>
      <c r="M77" s="27"/>
      <c r="N77" s="2"/>
      <c r="O77" s="27">
        <f t="shared" si="1"/>
        <v>0</v>
      </c>
      <c r="P77" s="27"/>
      <c r="Q77" s="27"/>
      <c r="R77" s="20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</row>
    <row r="78" spans="1:38" ht="15" customHeight="1">
      <c r="A78" s="24"/>
      <c r="B78" s="23" t="s">
        <v>64</v>
      </c>
      <c r="C78" s="24" t="s">
        <v>18</v>
      </c>
      <c r="D78" s="23"/>
      <c r="E78" s="23" t="s">
        <v>41</v>
      </c>
      <c r="F78" s="23" t="s">
        <v>123</v>
      </c>
      <c r="G78" s="23" t="s">
        <v>122</v>
      </c>
      <c r="H78" s="25">
        <v>0</v>
      </c>
      <c r="I78" s="1"/>
      <c r="J78" s="26"/>
      <c r="K78" s="27">
        <f t="shared" si="2"/>
        <v>0</v>
      </c>
      <c r="L78" s="27"/>
      <c r="M78" s="27"/>
      <c r="N78" s="1">
        <v>2</v>
      </c>
      <c r="O78" s="27">
        <f t="shared" si="1"/>
        <v>0</v>
      </c>
      <c r="P78" s="27"/>
      <c r="Q78" s="27"/>
      <c r="R78" s="20"/>
    </row>
    <row r="79" spans="1:38" s="17" customFormat="1" ht="15" customHeight="1">
      <c r="A79" s="24">
        <v>38</v>
      </c>
      <c r="B79" s="23" t="s">
        <v>238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8</v>
      </c>
      <c r="I79" s="1"/>
      <c r="J79" s="26"/>
      <c r="K79" s="27">
        <f t="shared" si="2"/>
        <v>0</v>
      </c>
      <c r="L79" s="27"/>
      <c r="M79" s="27"/>
      <c r="N79" s="1">
        <v>1</v>
      </c>
      <c r="O79" s="27">
        <f t="shared" si="1"/>
        <v>0</v>
      </c>
      <c r="P79" s="27"/>
      <c r="Q79" s="27"/>
      <c r="R79" s="20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s="7" customFormat="1" ht="15" customHeight="1">
      <c r="A80" s="24">
        <v>39</v>
      </c>
      <c r="B80" s="23" t="s">
        <v>65</v>
      </c>
      <c r="C80" s="24" t="s">
        <v>18</v>
      </c>
      <c r="D80" s="23"/>
      <c r="E80" s="23" t="s">
        <v>66</v>
      </c>
      <c r="F80" s="23" t="s">
        <v>295</v>
      </c>
      <c r="G80" s="23" t="s">
        <v>142</v>
      </c>
      <c r="H80" s="25">
        <v>3</v>
      </c>
      <c r="I80" s="1"/>
      <c r="J80" s="26"/>
      <c r="K80" s="27">
        <f t="shared" si="2"/>
        <v>0</v>
      </c>
      <c r="L80" s="27"/>
      <c r="M80" s="27"/>
      <c r="N80" s="1">
        <v>9</v>
      </c>
      <c r="O80" s="27">
        <f t="shared" si="1"/>
        <v>0</v>
      </c>
      <c r="P80" s="27"/>
      <c r="Q80" s="27"/>
      <c r="R80" s="20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</row>
    <row r="81" spans="1:38" ht="15" customHeight="1">
      <c r="A81" s="24"/>
      <c r="B81" s="23" t="s">
        <v>65</v>
      </c>
      <c r="C81" s="24" t="s">
        <v>18</v>
      </c>
      <c r="D81" s="23"/>
      <c r="E81" s="23" t="s">
        <v>66</v>
      </c>
      <c r="F81" s="23" t="s">
        <v>123</v>
      </c>
      <c r="G81" s="23" t="s">
        <v>136</v>
      </c>
      <c r="H81" s="25">
        <v>0</v>
      </c>
      <c r="I81" s="2"/>
      <c r="J81" s="26"/>
      <c r="K81" s="27">
        <f t="shared" si="2"/>
        <v>0</v>
      </c>
      <c r="L81" s="27"/>
      <c r="M81" s="27"/>
      <c r="N81" s="2"/>
      <c r="O81" s="27">
        <f t="shared" si="1"/>
        <v>0</v>
      </c>
      <c r="P81" s="27"/>
      <c r="Q81" s="27"/>
      <c r="R81" s="20"/>
    </row>
    <row r="82" spans="1:38" s="7" customFormat="1" ht="15" customHeight="1">
      <c r="A82" s="24">
        <v>40</v>
      </c>
      <c r="B82" s="23" t="s">
        <v>67</v>
      </c>
      <c r="C82" s="24" t="s">
        <v>18</v>
      </c>
      <c r="D82" s="23"/>
      <c r="E82" s="23" t="s">
        <v>19</v>
      </c>
      <c r="F82" s="23" t="s">
        <v>292</v>
      </c>
      <c r="G82" s="23" t="s">
        <v>142</v>
      </c>
      <c r="H82" s="25">
        <v>10</v>
      </c>
      <c r="I82" s="1">
        <v>9</v>
      </c>
      <c r="J82" s="26">
        <v>9</v>
      </c>
      <c r="K82" s="27">
        <f t="shared" ref="K82:K146" si="3">L82+M82</f>
        <v>0</v>
      </c>
      <c r="L82" s="27"/>
      <c r="M82" s="27"/>
      <c r="N82" s="1">
        <v>6</v>
      </c>
      <c r="O82" s="27">
        <f t="shared" si="1"/>
        <v>0</v>
      </c>
      <c r="P82" s="27"/>
      <c r="Q82" s="27"/>
      <c r="R82" s="20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 spans="1:38" s="28" customFormat="1" ht="15" customHeight="1">
      <c r="A83" s="24"/>
      <c r="B83" s="23" t="s">
        <v>67</v>
      </c>
      <c r="C83" s="24" t="s">
        <v>18</v>
      </c>
      <c r="D83" s="23"/>
      <c r="E83" s="23" t="s">
        <v>104</v>
      </c>
      <c r="F83" s="23" t="s">
        <v>123</v>
      </c>
      <c r="G83" s="23" t="s">
        <v>122</v>
      </c>
      <c r="H83" s="25">
        <v>0</v>
      </c>
      <c r="I83" s="1"/>
      <c r="J83" s="26"/>
      <c r="K83" s="27">
        <f t="shared" si="3"/>
        <v>0</v>
      </c>
      <c r="L83" s="27"/>
      <c r="M83" s="27"/>
      <c r="N83" s="1"/>
      <c r="O83" s="27">
        <f t="shared" si="1"/>
        <v>0</v>
      </c>
      <c r="P83" s="27"/>
      <c r="Q83" s="27"/>
      <c r="R83" s="20"/>
    </row>
    <row r="84" spans="1:38" ht="15" customHeight="1">
      <c r="A84" s="24">
        <v>41</v>
      </c>
      <c r="B84" s="23" t="s">
        <v>68</v>
      </c>
      <c r="C84" s="24" t="s">
        <v>18</v>
      </c>
      <c r="D84" s="24"/>
      <c r="E84" s="23" t="s">
        <v>50</v>
      </c>
      <c r="F84" s="23" t="s">
        <v>268</v>
      </c>
      <c r="G84" s="23" t="s">
        <v>142</v>
      </c>
      <c r="H84" s="25">
        <v>4</v>
      </c>
      <c r="I84" s="1"/>
      <c r="J84" s="26"/>
      <c r="K84" s="27">
        <f t="shared" si="3"/>
        <v>0</v>
      </c>
      <c r="L84" s="27"/>
      <c r="M84" s="27"/>
      <c r="N84" s="1"/>
      <c r="O84" s="27">
        <f t="shared" si="1"/>
        <v>0</v>
      </c>
      <c r="P84" s="27"/>
      <c r="Q84" s="27"/>
      <c r="R84" s="20"/>
    </row>
    <row r="85" spans="1:38" ht="15" customHeight="1">
      <c r="A85" s="24"/>
      <c r="B85" s="23" t="s">
        <v>68</v>
      </c>
      <c r="C85" s="24" t="s">
        <v>18</v>
      </c>
      <c r="D85" s="23"/>
      <c r="E85" s="23" t="s">
        <v>50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3"/>
        <v>0</v>
      </c>
      <c r="L85" s="27"/>
      <c r="M85" s="27"/>
      <c r="N85" s="2"/>
      <c r="O85" s="27">
        <f t="shared" si="1"/>
        <v>0</v>
      </c>
      <c r="P85" s="27"/>
      <c r="Q85" s="27"/>
      <c r="R85" s="20"/>
    </row>
    <row r="86" spans="1:38" ht="15" customHeight="1">
      <c r="A86" s="24"/>
      <c r="B86" s="23" t="s">
        <v>68</v>
      </c>
      <c r="C86" s="24" t="s">
        <v>18</v>
      </c>
      <c r="D86" s="23"/>
      <c r="E86" s="23" t="s">
        <v>50</v>
      </c>
      <c r="F86" s="23" t="s">
        <v>292</v>
      </c>
      <c r="G86" s="23" t="s">
        <v>124</v>
      </c>
      <c r="H86" s="25">
        <v>0</v>
      </c>
      <c r="I86" s="2"/>
      <c r="J86" s="26"/>
      <c r="K86" s="27">
        <f t="shared" si="3"/>
        <v>0</v>
      </c>
      <c r="L86" s="27"/>
      <c r="M86" s="27"/>
      <c r="N86" s="2"/>
      <c r="O86" s="27">
        <f t="shared" si="1"/>
        <v>0</v>
      </c>
      <c r="P86" s="27"/>
      <c r="Q86" s="27"/>
      <c r="R86" s="20"/>
    </row>
    <row r="87" spans="1:38" ht="15" customHeight="1">
      <c r="A87" s="24">
        <v>42</v>
      </c>
      <c r="B87" s="23" t="s">
        <v>127</v>
      </c>
      <c r="C87" s="24" t="s">
        <v>18</v>
      </c>
      <c r="D87" s="23"/>
      <c r="E87" s="23" t="s">
        <v>41</v>
      </c>
      <c r="F87" s="23" t="s">
        <v>120</v>
      </c>
      <c r="G87" s="23" t="s">
        <v>142</v>
      </c>
      <c r="H87" s="25">
        <v>4</v>
      </c>
      <c r="I87" s="2"/>
      <c r="J87" s="26"/>
      <c r="K87" s="27">
        <f t="shared" si="3"/>
        <v>0</v>
      </c>
      <c r="L87" s="27"/>
      <c r="M87" s="27"/>
      <c r="N87" s="2">
        <v>1</v>
      </c>
      <c r="O87" s="27">
        <f t="shared" si="1"/>
        <v>0</v>
      </c>
      <c r="P87" s="27"/>
      <c r="Q87" s="27"/>
      <c r="R87" s="20"/>
    </row>
    <row r="88" spans="1:38" ht="15" customHeight="1">
      <c r="A88" s="24"/>
      <c r="B88" s="23" t="s">
        <v>127</v>
      </c>
      <c r="C88" s="24" t="s">
        <v>18</v>
      </c>
      <c r="D88" s="23"/>
      <c r="E88" s="23" t="s">
        <v>50</v>
      </c>
      <c r="F88" s="23" t="s">
        <v>295</v>
      </c>
      <c r="G88" s="23" t="s">
        <v>136</v>
      </c>
      <c r="H88" s="25">
        <v>7</v>
      </c>
      <c r="I88" s="2"/>
      <c r="J88" s="26"/>
      <c r="K88" s="27">
        <f t="shared" si="3"/>
        <v>0</v>
      </c>
      <c r="L88" s="27"/>
      <c r="M88" s="27"/>
      <c r="N88" s="2">
        <v>6</v>
      </c>
      <c r="O88" s="27">
        <f t="shared" si="1"/>
        <v>0</v>
      </c>
      <c r="P88" s="27"/>
      <c r="Q88" s="27"/>
      <c r="R88" s="20"/>
    </row>
    <row r="89" spans="1:38" ht="15" customHeight="1">
      <c r="A89" s="24"/>
      <c r="B89" s="23" t="s">
        <v>127</v>
      </c>
      <c r="C89" s="24" t="s">
        <v>18</v>
      </c>
      <c r="D89" s="23"/>
      <c r="E89" s="23" t="s">
        <v>50</v>
      </c>
      <c r="F89" s="23" t="s">
        <v>294</v>
      </c>
      <c r="G89" s="23" t="s">
        <v>124</v>
      </c>
      <c r="H89" s="25">
        <v>1</v>
      </c>
      <c r="I89" s="2"/>
      <c r="J89" s="26"/>
      <c r="K89" s="27">
        <f t="shared" si="3"/>
        <v>0</v>
      </c>
      <c r="L89" s="27"/>
      <c r="M89" s="27"/>
      <c r="N89" s="2">
        <v>1</v>
      </c>
      <c r="O89" s="27">
        <f t="shared" ref="O89:O180" si="4">P89+Q89</f>
        <v>0</v>
      </c>
      <c r="P89" s="27"/>
      <c r="Q89" s="27"/>
      <c r="R89" s="20"/>
    </row>
    <row r="90" spans="1:38" s="7" customFormat="1" ht="15" customHeight="1">
      <c r="A90" s="74">
        <v>43</v>
      </c>
      <c r="B90" s="77" t="s">
        <v>69</v>
      </c>
      <c r="C90" s="74" t="s">
        <v>18</v>
      </c>
      <c r="D90" s="77"/>
      <c r="E90" s="77" t="s">
        <v>19</v>
      </c>
      <c r="F90" s="77" t="s">
        <v>292</v>
      </c>
      <c r="G90" s="77" t="s">
        <v>142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20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</row>
    <row r="91" spans="1:38" s="7" customFormat="1" ht="15.75" customHeight="1">
      <c r="A91" s="74">
        <v>44</v>
      </c>
      <c r="B91" s="77" t="s">
        <v>70</v>
      </c>
      <c r="C91" s="74" t="s">
        <v>18</v>
      </c>
      <c r="D91" s="77"/>
      <c r="E91" s="77" t="s">
        <v>19</v>
      </c>
      <c r="F91" s="77" t="s">
        <v>292</v>
      </c>
      <c r="G91" s="77" t="s">
        <v>142</v>
      </c>
      <c r="H91" s="25">
        <v>3</v>
      </c>
      <c r="I91" s="1">
        <v>2</v>
      </c>
      <c r="J91" s="26">
        <v>2</v>
      </c>
      <c r="K91" s="27">
        <f t="shared" si="3"/>
        <v>0</v>
      </c>
      <c r="L91" s="27"/>
      <c r="M91" s="27"/>
      <c r="N91" s="1">
        <v>3</v>
      </c>
      <c r="O91" s="27">
        <f t="shared" si="4"/>
        <v>0</v>
      </c>
      <c r="P91" s="27"/>
      <c r="Q91" s="27"/>
      <c r="R91" s="20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</row>
    <row r="92" spans="1:38" ht="15" customHeight="1">
      <c r="A92" s="74">
        <v>45</v>
      </c>
      <c r="B92" s="77" t="s">
        <v>71</v>
      </c>
      <c r="C92" s="74" t="s">
        <v>18</v>
      </c>
      <c r="D92" s="77"/>
      <c r="E92" s="77" t="s">
        <v>32</v>
      </c>
      <c r="F92" s="77" t="s">
        <v>292</v>
      </c>
      <c r="G92" s="77" t="s">
        <v>121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20"/>
    </row>
    <row r="93" spans="1:38" ht="15" customHeight="1">
      <c r="A93" s="24"/>
      <c r="B93" s="23" t="s">
        <v>71</v>
      </c>
      <c r="C93" s="24" t="s">
        <v>18</v>
      </c>
      <c r="D93" s="23"/>
      <c r="E93" s="23" t="s">
        <v>32</v>
      </c>
      <c r="F93" s="23" t="s">
        <v>292</v>
      </c>
      <c r="G93" s="23" t="s">
        <v>122</v>
      </c>
      <c r="H93" s="25">
        <v>0</v>
      </c>
      <c r="I93" s="1"/>
      <c r="J93" s="26"/>
      <c r="K93" s="27">
        <f t="shared" si="3"/>
        <v>0</v>
      </c>
      <c r="L93" s="27"/>
      <c r="M93" s="27"/>
      <c r="N93" s="1"/>
      <c r="O93" s="27">
        <f t="shared" si="4"/>
        <v>0</v>
      </c>
      <c r="P93" s="27"/>
      <c r="Q93" s="27"/>
      <c r="R93" s="20"/>
    </row>
    <row r="94" spans="1:38" ht="15" customHeight="1">
      <c r="A94" s="24">
        <v>46</v>
      </c>
      <c r="B94" s="23" t="s">
        <v>72</v>
      </c>
      <c r="C94" s="24" t="s">
        <v>18</v>
      </c>
      <c r="D94" s="23"/>
      <c r="E94" s="23" t="s">
        <v>19</v>
      </c>
      <c r="F94" s="23" t="s">
        <v>268</v>
      </c>
      <c r="G94" s="23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</row>
    <row r="95" spans="1:38" ht="15" customHeight="1">
      <c r="A95" s="24"/>
      <c r="B95" s="23" t="s">
        <v>72</v>
      </c>
      <c r="C95" s="24" t="s">
        <v>18</v>
      </c>
      <c r="D95" s="23"/>
      <c r="E95" s="23" t="s">
        <v>19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</row>
    <row r="96" spans="1:38" ht="15" customHeight="1">
      <c r="A96" s="24">
        <v>47</v>
      </c>
      <c r="B96" s="23" t="s">
        <v>73</v>
      </c>
      <c r="C96" s="24" t="s">
        <v>18</v>
      </c>
      <c r="D96" s="23"/>
      <c r="E96" s="23" t="s">
        <v>19</v>
      </c>
      <c r="F96" s="23"/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</row>
    <row r="97" spans="1:38" s="7" customFormat="1" ht="15" customHeight="1">
      <c r="A97" s="24">
        <v>48</v>
      </c>
      <c r="B97" s="23" t="s">
        <v>74</v>
      </c>
      <c r="C97" s="24" t="s">
        <v>18</v>
      </c>
      <c r="D97" s="23"/>
      <c r="E97" s="23" t="s">
        <v>19</v>
      </c>
      <c r="F97" s="23" t="s">
        <v>120</v>
      </c>
      <c r="G97" s="23" t="s">
        <v>142</v>
      </c>
      <c r="H97" s="25">
        <v>5</v>
      </c>
      <c r="I97" s="1">
        <v>2</v>
      </c>
      <c r="J97" s="26">
        <v>2</v>
      </c>
      <c r="K97" s="27">
        <f t="shared" si="3"/>
        <v>0</v>
      </c>
      <c r="L97" s="27"/>
      <c r="M97" s="27"/>
      <c r="N97" s="1">
        <v>6</v>
      </c>
      <c r="O97" s="27">
        <f t="shared" si="4"/>
        <v>0</v>
      </c>
      <c r="P97" s="27"/>
      <c r="Q97" s="27"/>
      <c r="R97" s="20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 spans="1:38" s="7" customFormat="1" ht="15" customHeight="1">
      <c r="A98" s="24">
        <v>49</v>
      </c>
      <c r="B98" s="23" t="s">
        <v>312</v>
      </c>
      <c r="C98" s="24" t="s">
        <v>18</v>
      </c>
      <c r="D98" s="23"/>
      <c r="E98" s="23" t="s">
        <v>19</v>
      </c>
      <c r="F98" s="23" t="s">
        <v>298</v>
      </c>
      <c r="G98" s="23" t="s">
        <v>142</v>
      </c>
      <c r="H98" s="25">
        <v>5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s="7" customFormat="1" ht="15" customHeight="1">
      <c r="A99" s="24"/>
      <c r="B99" s="23" t="s">
        <v>312</v>
      </c>
      <c r="C99" s="24" t="s">
        <v>18</v>
      </c>
      <c r="D99" s="23"/>
      <c r="E99" s="23" t="s">
        <v>304</v>
      </c>
      <c r="F99" s="23" t="s">
        <v>268</v>
      </c>
      <c r="G99" s="23" t="s">
        <v>131</v>
      </c>
      <c r="H99" s="25">
        <v>3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 spans="1:38" s="7" customFormat="1" ht="15" customHeight="1">
      <c r="A100" s="24"/>
      <c r="B100" s="23" t="s">
        <v>312</v>
      </c>
      <c r="C100" s="24" t="s">
        <v>18</v>
      </c>
      <c r="D100" s="23"/>
      <c r="E100" s="23" t="s">
        <v>41</v>
      </c>
      <c r="F100" s="23" t="s">
        <v>298</v>
      </c>
      <c r="G100" s="23" t="s">
        <v>136</v>
      </c>
      <c r="H100" s="25">
        <v>8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ht="15" customHeight="1">
      <c r="A101" s="24">
        <v>50</v>
      </c>
      <c r="B101" s="23" t="s">
        <v>75</v>
      </c>
      <c r="C101" s="24" t="s">
        <v>18</v>
      </c>
      <c r="D101" s="23"/>
      <c r="E101" s="23" t="s">
        <v>19</v>
      </c>
      <c r="F101" s="23" t="s">
        <v>120</v>
      </c>
      <c r="G101" s="23" t="s">
        <v>142</v>
      </c>
      <c r="H101" s="25">
        <v>5</v>
      </c>
      <c r="I101" s="1">
        <v>2</v>
      </c>
      <c r="J101" s="26">
        <v>2</v>
      </c>
      <c r="K101" s="27">
        <f t="shared" si="3"/>
        <v>0</v>
      </c>
      <c r="L101" s="27"/>
      <c r="M101" s="27"/>
      <c r="N101" s="1">
        <v>12</v>
      </c>
      <c r="O101" s="27">
        <f>P101+Q101</f>
        <v>0</v>
      </c>
      <c r="P101" s="27"/>
      <c r="Q101" s="27"/>
      <c r="R101" s="20"/>
    </row>
    <row r="102" spans="1:38" ht="13.15" customHeight="1">
      <c r="A102" s="24"/>
      <c r="B102" s="23" t="s">
        <v>75</v>
      </c>
      <c r="C102" s="24" t="s">
        <v>18</v>
      </c>
      <c r="D102" s="23"/>
      <c r="E102" s="23" t="s">
        <v>76</v>
      </c>
      <c r="F102" s="23" t="s">
        <v>120</v>
      </c>
      <c r="G102" s="23" t="s">
        <v>131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>
        <v>5</v>
      </c>
      <c r="O102" s="27">
        <v>0</v>
      </c>
      <c r="P102" s="27"/>
      <c r="Q102" s="27"/>
      <c r="R102" s="20"/>
    </row>
    <row r="103" spans="1:38" ht="15" customHeight="1">
      <c r="A103" s="24"/>
      <c r="B103" s="23" t="s">
        <v>140</v>
      </c>
      <c r="C103" s="24" t="s">
        <v>18</v>
      </c>
      <c r="D103" s="23"/>
      <c r="E103" s="23" t="s">
        <v>76</v>
      </c>
      <c r="F103" s="23" t="s">
        <v>120</v>
      </c>
      <c r="G103" s="23" t="s">
        <v>136</v>
      </c>
      <c r="H103" s="25">
        <v>0</v>
      </c>
      <c r="I103" s="2"/>
      <c r="J103" s="26"/>
      <c r="K103" s="27">
        <f t="shared" si="3"/>
        <v>0</v>
      </c>
      <c r="L103" s="27"/>
      <c r="M103" s="27"/>
      <c r="N103" s="2">
        <v>11</v>
      </c>
      <c r="O103" s="27">
        <f>P103+Q103</f>
        <v>4212.68</v>
      </c>
      <c r="P103" s="27">
        <v>4212.68</v>
      </c>
      <c r="Q103" s="27"/>
      <c r="R103" s="20"/>
    </row>
    <row r="104" spans="1:38" s="17" customFormat="1" ht="15" customHeight="1">
      <c r="A104" s="24">
        <v>51</v>
      </c>
      <c r="B104" s="23" t="s">
        <v>267</v>
      </c>
      <c r="C104" s="24" t="s">
        <v>18</v>
      </c>
      <c r="D104" s="23"/>
      <c r="E104" s="23" t="s">
        <v>19</v>
      </c>
      <c r="F104" s="23" t="s">
        <v>268</v>
      </c>
      <c r="G104" s="23" t="s">
        <v>142</v>
      </c>
      <c r="H104" s="25">
        <v>0</v>
      </c>
      <c r="I104" s="2"/>
      <c r="J104" s="26"/>
      <c r="K104" s="27">
        <f t="shared" si="3"/>
        <v>0</v>
      </c>
      <c r="L104" s="27"/>
      <c r="M104" s="27"/>
      <c r="N104" s="2"/>
      <c r="O104" s="27">
        <f>P104+Q104</f>
        <v>0</v>
      </c>
      <c r="P104" s="27"/>
      <c r="Q104" s="27"/>
      <c r="R104" s="20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</row>
    <row r="105" spans="1:38" s="17" customFormat="1" ht="15" customHeight="1">
      <c r="A105" s="24"/>
      <c r="B105" s="23" t="s">
        <v>267</v>
      </c>
      <c r="C105" s="24" t="s">
        <v>18</v>
      </c>
      <c r="D105" s="23"/>
      <c r="E105" s="23" t="s">
        <v>19</v>
      </c>
      <c r="F105" s="23" t="s">
        <v>120</v>
      </c>
      <c r="G105" s="23" t="s">
        <v>131</v>
      </c>
      <c r="H105" s="25">
        <v>2</v>
      </c>
      <c r="I105" s="2"/>
      <c r="J105" s="26"/>
      <c r="K105" s="27">
        <f t="shared" si="3"/>
        <v>0</v>
      </c>
      <c r="L105" s="27"/>
      <c r="M105" s="27"/>
      <c r="N105" s="2"/>
      <c r="O105" s="27">
        <f t="shared" ref="O105:O108" si="5">P105+Q105</f>
        <v>0</v>
      </c>
      <c r="P105" s="27"/>
      <c r="Q105" s="27"/>
      <c r="R105" s="20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</row>
    <row r="106" spans="1:38" ht="15" customHeight="1">
      <c r="A106" s="24"/>
      <c r="B106" s="23" t="s">
        <v>267</v>
      </c>
      <c r="C106" s="24" t="s">
        <v>18</v>
      </c>
      <c r="D106" s="23"/>
      <c r="E106" s="23" t="s">
        <v>19</v>
      </c>
      <c r="F106" s="23" t="s">
        <v>123</v>
      </c>
      <c r="G106" s="23" t="s">
        <v>122</v>
      </c>
      <c r="H106" s="25">
        <v>1</v>
      </c>
      <c r="I106" s="2"/>
      <c r="J106" s="26"/>
      <c r="K106" s="27">
        <f t="shared" si="3"/>
        <v>0</v>
      </c>
      <c r="L106" s="27"/>
      <c r="M106" s="27"/>
      <c r="N106" s="2">
        <v>1</v>
      </c>
      <c r="O106" s="27">
        <f t="shared" si="5"/>
        <v>0</v>
      </c>
      <c r="P106" s="27"/>
      <c r="Q106" s="27"/>
      <c r="R106" s="20"/>
    </row>
    <row r="107" spans="1:38" ht="15" customHeight="1">
      <c r="A107" s="24">
        <v>52</v>
      </c>
      <c r="B107" s="23" t="s">
        <v>306</v>
      </c>
      <c r="C107" s="24" t="s">
        <v>30</v>
      </c>
      <c r="D107" s="23" t="s">
        <v>334</v>
      </c>
      <c r="E107" s="23" t="s">
        <v>104</v>
      </c>
      <c r="F107" s="23" t="s">
        <v>298</v>
      </c>
      <c r="G107" s="23" t="s">
        <v>131</v>
      </c>
      <c r="H107" s="25">
        <v>3</v>
      </c>
      <c r="I107" s="2"/>
      <c r="J107" s="26"/>
      <c r="K107" s="27"/>
      <c r="L107" s="27"/>
      <c r="M107" s="27"/>
      <c r="N107" s="2"/>
      <c r="O107" s="27"/>
      <c r="P107" s="27"/>
      <c r="Q107" s="27"/>
      <c r="R107" s="20"/>
    </row>
    <row r="108" spans="1:38" ht="15" customHeight="1">
      <c r="A108" s="24"/>
      <c r="B108" s="23" t="s">
        <v>306</v>
      </c>
      <c r="C108" s="24" t="s">
        <v>30</v>
      </c>
      <c r="D108" s="23" t="s">
        <v>307</v>
      </c>
      <c r="E108" s="23" t="s">
        <v>19</v>
      </c>
      <c r="F108" s="23" t="s">
        <v>308</v>
      </c>
      <c r="G108" s="23" t="s">
        <v>122</v>
      </c>
      <c r="H108" s="25">
        <v>3</v>
      </c>
      <c r="I108" s="2"/>
      <c r="J108" s="26"/>
      <c r="K108" s="27">
        <f t="shared" si="3"/>
        <v>0</v>
      </c>
      <c r="L108" s="27"/>
      <c r="M108" s="27"/>
      <c r="N108" s="2"/>
      <c r="O108" s="27">
        <f t="shared" si="5"/>
        <v>0</v>
      </c>
      <c r="P108" s="27"/>
      <c r="Q108" s="27"/>
      <c r="R108" s="20"/>
    </row>
    <row r="109" spans="1:38" ht="30.75" customHeight="1">
      <c r="A109" s="24">
        <v>53</v>
      </c>
      <c r="B109" s="23" t="s">
        <v>78</v>
      </c>
      <c r="C109" s="24" t="s">
        <v>18</v>
      </c>
      <c r="D109" s="23" t="s">
        <v>276</v>
      </c>
      <c r="E109" s="23" t="s">
        <v>19</v>
      </c>
      <c r="F109" s="23" t="s">
        <v>123</v>
      </c>
      <c r="G109" s="23" t="s">
        <v>142</v>
      </c>
      <c r="H109" s="25">
        <v>11</v>
      </c>
      <c r="I109" s="1">
        <v>10</v>
      </c>
      <c r="J109" s="26">
        <v>10</v>
      </c>
      <c r="K109" s="27">
        <f t="shared" si="3"/>
        <v>0</v>
      </c>
      <c r="L109" s="27"/>
      <c r="M109" s="27"/>
      <c r="N109" s="1">
        <v>3</v>
      </c>
      <c r="O109" s="27">
        <f t="shared" si="4"/>
        <v>0</v>
      </c>
      <c r="P109" s="27"/>
      <c r="Q109" s="27"/>
      <c r="R109" s="20"/>
    </row>
    <row r="110" spans="1:38" s="7" customFormat="1" ht="15" customHeight="1">
      <c r="A110" s="24"/>
      <c r="B110" s="23" t="s">
        <v>78</v>
      </c>
      <c r="C110" s="24" t="s">
        <v>18</v>
      </c>
      <c r="D110" s="23"/>
      <c r="E110" s="23" t="s">
        <v>19</v>
      </c>
      <c r="F110" s="23" t="s">
        <v>120</v>
      </c>
      <c r="G110" s="23" t="s">
        <v>131</v>
      </c>
      <c r="H110" s="25">
        <v>0</v>
      </c>
      <c r="I110" s="1"/>
      <c r="J110" s="26"/>
      <c r="K110" s="27">
        <f t="shared" si="3"/>
        <v>0</v>
      </c>
      <c r="L110" s="27"/>
      <c r="M110" s="27"/>
      <c r="N110" s="1"/>
      <c r="O110" s="27">
        <f t="shared" si="4"/>
        <v>0</v>
      </c>
      <c r="P110" s="27"/>
      <c r="Q110" s="27"/>
      <c r="R110" s="20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</row>
    <row r="111" spans="1:38" ht="15" customHeight="1">
      <c r="A111" s="24"/>
      <c r="B111" s="23" t="s">
        <v>78</v>
      </c>
      <c r="C111" s="24" t="s">
        <v>18</v>
      </c>
      <c r="D111" s="23"/>
      <c r="E111" s="23" t="s">
        <v>19</v>
      </c>
      <c r="F111" s="23" t="s">
        <v>120</v>
      </c>
      <c r="G111" s="23" t="s">
        <v>122</v>
      </c>
      <c r="H111" s="25">
        <v>0</v>
      </c>
      <c r="I111" s="1"/>
      <c r="J111" s="26"/>
      <c r="K111" s="27">
        <f t="shared" si="3"/>
        <v>0</v>
      </c>
      <c r="L111" s="27"/>
      <c r="M111" s="27"/>
      <c r="N111" s="1"/>
      <c r="O111" s="27">
        <f t="shared" si="4"/>
        <v>0</v>
      </c>
      <c r="P111" s="27"/>
      <c r="Q111" s="27"/>
      <c r="R111" s="20"/>
    </row>
    <row r="112" spans="1:38" ht="15" customHeight="1">
      <c r="A112" s="24">
        <v>54</v>
      </c>
      <c r="B112" s="23" t="s">
        <v>79</v>
      </c>
      <c r="C112" s="24" t="s">
        <v>18</v>
      </c>
      <c r="D112" s="23"/>
      <c r="E112" s="23" t="s">
        <v>19</v>
      </c>
      <c r="F112" s="23"/>
      <c r="G112" s="23" t="s">
        <v>142</v>
      </c>
      <c r="H112" s="25">
        <v>0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20"/>
    </row>
    <row r="113" spans="1:38" ht="15" customHeight="1">
      <c r="A113" s="24">
        <v>55</v>
      </c>
      <c r="B113" s="23" t="s">
        <v>80</v>
      </c>
      <c r="C113" s="24" t="s">
        <v>18</v>
      </c>
      <c r="D113" s="23"/>
      <c r="E113" s="23" t="s">
        <v>19</v>
      </c>
      <c r="F113" s="23" t="s">
        <v>120</v>
      </c>
      <c r="G113" s="23" t="s">
        <v>142</v>
      </c>
      <c r="H113" s="25">
        <v>9</v>
      </c>
      <c r="I113" s="1">
        <v>2</v>
      </c>
      <c r="J113" s="26">
        <v>2</v>
      </c>
      <c r="K113" s="27">
        <f t="shared" si="3"/>
        <v>0</v>
      </c>
      <c r="L113" s="27"/>
      <c r="M113" s="27"/>
      <c r="N113" s="1">
        <v>1</v>
      </c>
      <c r="O113" s="27">
        <f t="shared" si="4"/>
        <v>0</v>
      </c>
      <c r="P113" s="27"/>
      <c r="Q113" s="27"/>
      <c r="R113" s="20"/>
    </row>
    <row r="114" spans="1:38" s="7" customFormat="1" ht="15" customHeight="1">
      <c r="A114" s="24"/>
      <c r="B114" s="23" t="s">
        <v>80</v>
      </c>
      <c r="C114" s="24" t="s">
        <v>18</v>
      </c>
      <c r="D114" s="23"/>
      <c r="E114" s="23" t="s">
        <v>19</v>
      </c>
      <c r="F114" s="23" t="s">
        <v>120</v>
      </c>
      <c r="G114" s="23" t="s">
        <v>122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</row>
    <row r="115" spans="1:38" s="7" customFormat="1" ht="15" customHeight="1">
      <c r="A115" s="24">
        <v>56</v>
      </c>
      <c r="B115" s="23" t="s">
        <v>313</v>
      </c>
      <c r="C115" s="24" t="s">
        <v>18</v>
      </c>
      <c r="D115" s="23"/>
      <c r="E115" s="23" t="s">
        <v>41</v>
      </c>
      <c r="F115" s="23" t="s">
        <v>298</v>
      </c>
      <c r="G115" s="23" t="s">
        <v>136</v>
      </c>
      <c r="H115" s="25">
        <v>2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20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 spans="1:38" ht="15" customHeight="1">
      <c r="A116" s="24">
        <v>57</v>
      </c>
      <c r="B116" s="23" t="s">
        <v>81</v>
      </c>
      <c r="C116" s="24" t="s">
        <v>18</v>
      </c>
      <c r="D116" s="23"/>
      <c r="E116" s="23" t="s">
        <v>19</v>
      </c>
      <c r="F116" s="23" t="s">
        <v>120</v>
      </c>
      <c r="G116" s="23" t="s">
        <v>142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>
        <v>1</v>
      </c>
      <c r="O116" s="27">
        <f t="shared" si="4"/>
        <v>0</v>
      </c>
      <c r="P116" s="27"/>
      <c r="Q116" s="27"/>
      <c r="R116" s="20"/>
    </row>
    <row r="117" spans="1:38" ht="15" customHeight="1">
      <c r="A117" s="24"/>
      <c r="B117" s="23" t="s">
        <v>81</v>
      </c>
      <c r="C117" s="24" t="s">
        <v>18</v>
      </c>
      <c r="D117" s="23"/>
      <c r="E117" s="23" t="s">
        <v>19</v>
      </c>
      <c r="F117" s="23" t="s">
        <v>292</v>
      </c>
      <c r="G117" s="23" t="s">
        <v>122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>
        <v>1</v>
      </c>
      <c r="O117" s="27">
        <f t="shared" si="4"/>
        <v>0</v>
      </c>
      <c r="P117" s="27"/>
      <c r="Q117" s="27"/>
      <c r="R117" s="20"/>
    </row>
    <row r="118" spans="1:38" s="7" customFormat="1" ht="15" customHeight="1">
      <c r="A118" s="24">
        <v>58</v>
      </c>
      <c r="B118" s="23" t="s">
        <v>82</v>
      </c>
      <c r="C118" s="24" t="s">
        <v>18</v>
      </c>
      <c r="D118" s="23"/>
      <c r="E118" s="23" t="s">
        <v>19</v>
      </c>
      <c r="F118" s="23" t="s">
        <v>295</v>
      </c>
      <c r="G118" s="23" t="s">
        <v>142</v>
      </c>
      <c r="H118" s="25">
        <v>6</v>
      </c>
      <c r="I118" s="1">
        <v>2</v>
      </c>
      <c r="J118" s="26">
        <v>2</v>
      </c>
      <c r="K118" s="27">
        <f t="shared" si="3"/>
        <v>0</v>
      </c>
      <c r="L118" s="27"/>
      <c r="M118" s="27"/>
      <c r="N118" s="1">
        <v>1</v>
      </c>
      <c r="O118" s="27">
        <f t="shared" si="4"/>
        <v>0</v>
      </c>
      <c r="P118" s="27"/>
      <c r="Q118" s="27"/>
      <c r="R118" s="20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 spans="1:38" s="7" customFormat="1" ht="15" customHeight="1">
      <c r="A119" s="24"/>
      <c r="B119" s="23" t="s">
        <v>82</v>
      </c>
      <c r="C119" s="24" t="s">
        <v>18</v>
      </c>
      <c r="D119" s="23"/>
      <c r="E119" s="23" t="s">
        <v>19</v>
      </c>
      <c r="F119" s="23" t="s">
        <v>295</v>
      </c>
      <c r="G119" s="23" t="s">
        <v>122</v>
      </c>
      <c r="H119" s="25">
        <v>0</v>
      </c>
      <c r="I119" s="1"/>
      <c r="J119" s="26"/>
      <c r="K119" s="27">
        <f t="shared" si="3"/>
        <v>0</v>
      </c>
      <c r="L119" s="27"/>
      <c r="M119" s="27"/>
      <c r="N119" s="1">
        <v>2</v>
      </c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ht="14.45" customHeight="1">
      <c r="A120" s="24">
        <v>59</v>
      </c>
      <c r="B120" s="23" t="s">
        <v>83</v>
      </c>
      <c r="C120" s="24" t="s">
        <v>30</v>
      </c>
      <c r="D120" s="23" t="s">
        <v>184</v>
      </c>
      <c r="E120" s="23" t="s">
        <v>19</v>
      </c>
      <c r="F120" s="23" t="s">
        <v>123</v>
      </c>
      <c r="G120" s="23" t="s">
        <v>142</v>
      </c>
      <c r="H120" s="25">
        <v>21</v>
      </c>
      <c r="I120" s="1">
        <v>15</v>
      </c>
      <c r="J120" s="26">
        <v>15</v>
      </c>
      <c r="K120" s="27">
        <f t="shared" si="3"/>
        <v>0</v>
      </c>
      <c r="L120" s="27"/>
      <c r="M120" s="27"/>
      <c r="N120" s="1">
        <v>8</v>
      </c>
      <c r="O120" s="27">
        <f t="shared" si="4"/>
        <v>0</v>
      </c>
      <c r="P120" s="27"/>
      <c r="Q120" s="27"/>
      <c r="R120" s="20"/>
    </row>
    <row r="121" spans="1:38" ht="14.45" customHeight="1">
      <c r="A121" s="24">
        <v>60</v>
      </c>
      <c r="B121" s="23" t="s">
        <v>303</v>
      </c>
      <c r="C121" s="24" t="s">
        <v>18</v>
      </c>
      <c r="D121" s="23"/>
      <c r="E121" s="23" t="s">
        <v>304</v>
      </c>
      <c r="F121" s="23" t="s">
        <v>298</v>
      </c>
      <c r="G121" s="23" t="s">
        <v>131</v>
      </c>
      <c r="H121" s="25">
        <v>5</v>
      </c>
      <c r="I121" s="1"/>
      <c r="J121" s="26"/>
      <c r="K121" s="27">
        <f t="shared" si="3"/>
        <v>0</v>
      </c>
      <c r="L121" s="27"/>
      <c r="M121" s="27"/>
      <c r="N121" s="1"/>
      <c r="O121" s="27">
        <f t="shared" si="4"/>
        <v>0</v>
      </c>
      <c r="P121" s="27"/>
      <c r="Q121" s="27"/>
      <c r="R121" s="20"/>
    </row>
    <row r="122" spans="1:38" s="7" customFormat="1" ht="15" customHeight="1">
      <c r="A122" s="24">
        <v>61</v>
      </c>
      <c r="B122" s="23" t="s">
        <v>84</v>
      </c>
      <c r="C122" s="24" t="s">
        <v>18</v>
      </c>
      <c r="D122" s="23"/>
      <c r="E122" s="23" t="s">
        <v>19</v>
      </c>
      <c r="F122" s="23" t="s">
        <v>123</v>
      </c>
      <c r="G122" s="23" t="s">
        <v>142</v>
      </c>
      <c r="H122" s="25">
        <v>9</v>
      </c>
      <c r="I122" s="1">
        <v>6</v>
      </c>
      <c r="J122" s="26">
        <v>6</v>
      </c>
      <c r="K122" s="27">
        <f t="shared" si="3"/>
        <v>0</v>
      </c>
      <c r="L122" s="27"/>
      <c r="M122" s="27"/>
      <c r="N122" s="1">
        <v>8</v>
      </c>
      <c r="O122" s="27">
        <f t="shared" si="4"/>
        <v>0</v>
      </c>
      <c r="P122" s="27"/>
      <c r="Q122" s="27"/>
      <c r="R122" s="20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 spans="1:38" ht="15" customHeight="1">
      <c r="A123" s="24"/>
      <c r="B123" s="23" t="s">
        <v>84</v>
      </c>
      <c r="C123" s="24" t="s">
        <v>18</v>
      </c>
      <c r="D123" s="23"/>
      <c r="E123" s="23" t="s">
        <v>19</v>
      </c>
      <c r="F123" s="23" t="s">
        <v>123</v>
      </c>
      <c r="G123" s="23" t="s">
        <v>122</v>
      </c>
      <c r="H123" s="25">
        <v>0</v>
      </c>
      <c r="I123" s="1"/>
      <c r="J123" s="26"/>
      <c r="K123" s="27">
        <f t="shared" si="3"/>
        <v>0</v>
      </c>
      <c r="L123" s="27"/>
      <c r="M123" s="27"/>
      <c r="N123" s="1"/>
      <c r="O123" s="27">
        <f t="shared" si="4"/>
        <v>0</v>
      </c>
      <c r="P123" s="27"/>
      <c r="Q123" s="27"/>
      <c r="R123" s="20"/>
    </row>
    <row r="124" spans="1:38" ht="15" customHeight="1">
      <c r="A124" s="24">
        <v>62</v>
      </c>
      <c r="B124" s="23" t="s">
        <v>85</v>
      </c>
      <c r="C124" s="24" t="s">
        <v>18</v>
      </c>
      <c r="D124" s="23"/>
      <c r="E124" s="23" t="s">
        <v>77</v>
      </c>
      <c r="F124" s="23" t="s">
        <v>120</v>
      </c>
      <c r="G124" s="23" t="s">
        <v>142</v>
      </c>
      <c r="H124" s="25">
        <v>9</v>
      </c>
      <c r="I124" s="1"/>
      <c r="J124" s="26"/>
      <c r="K124" s="27">
        <f t="shared" si="3"/>
        <v>0</v>
      </c>
      <c r="L124" s="27"/>
      <c r="M124" s="27"/>
      <c r="N124" s="1">
        <v>9</v>
      </c>
      <c r="O124" s="27">
        <f t="shared" si="4"/>
        <v>0</v>
      </c>
      <c r="P124" s="27"/>
      <c r="Q124" s="27"/>
      <c r="R124" s="20"/>
    </row>
    <row r="125" spans="1:38" ht="15" customHeight="1">
      <c r="A125" s="24"/>
      <c r="B125" s="23" t="s">
        <v>85</v>
      </c>
      <c r="C125" s="24" t="s">
        <v>18</v>
      </c>
      <c r="D125" s="23"/>
      <c r="E125" s="23" t="s">
        <v>301</v>
      </c>
      <c r="F125" s="23" t="s">
        <v>123</v>
      </c>
      <c r="G125" s="23" t="s">
        <v>131</v>
      </c>
      <c r="H125" s="25">
        <v>13</v>
      </c>
      <c r="I125" s="1"/>
      <c r="J125" s="26"/>
      <c r="K125" s="27">
        <f t="shared" si="3"/>
        <v>0</v>
      </c>
      <c r="L125" s="27"/>
      <c r="M125" s="27"/>
      <c r="N125" s="1">
        <v>5</v>
      </c>
      <c r="O125" s="27">
        <f t="shared" si="4"/>
        <v>0</v>
      </c>
      <c r="P125" s="27"/>
      <c r="Q125" s="27"/>
      <c r="R125" s="20"/>
    </row>
    <row r="126" spans="1:38" ht="15" customHeight="1">
      <c r="A126" s="24">
        <v>63</v>
      </c>
      <c r="B126" s="23" t="s">
        <v>86</v>
      </c>
      <c r="C126" s="24" t="s">
        <v>18</v>
      </c>
      <c r="D126" s="23"/>
      <c r="E126" s="23" t="s">
        <v>77</v>
      </c>
      <c r="F126" s="23" t="s">
        <v>295</v>
      </c>
      <c r="G126" s="23" t="s">
        <v>142</v>
      </c>
      <c r="H126" s="25">
        <v>4</v>
      </c>
      <c r="I126" s="1"/>
      <c r="J126" s="26"/>
      <c r="K126" s="27">
        <f t="shared" si="3"/>
        <v>0</v>
      </c>
      <c r="L126" s="27"/>
      <c r="M126" s="27"/>
      <c r="N126" s="1">
        <v>3</v>
      </c>
      <c r="O126" s="27">
        <f t="shared" si="4"/>
        <v>0</v>
      </c>
      <c r="P126" s="27"/>
      <c r="Q126" s="27"/>
      <c r="R126" s="20"/>
    </row>
    <row r="127" spans="1:38" ht="15" customHeight="1">
      <c r="A127" s="24"/>
      <c r="B127" s="23" t="s">
        <v>86</v>
      </c>
      <c r="C127" s="24" t="s">
        <v>18</v>
      </c>
      <c r="D127" s="23"/>
      <c r="E127" s="23" t="s">
        <v>301</v>
      </c>
      <c r="F127" s="23" t="s">
        <v>120</v>
      </c>
      <c r="G127" s="23" t="s">
        <v>131</v>
      </c>
      <c r="H127" s="25">
        <v>1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20"/>
    </row>
    <row r="128" spans="1:38" ht="28.9" customHeight="1">
      <c r="A128" s="29">
        <v>64</v>
      </c>
      <c r="B128" s="30" t="s">
        <v>87</v>
      </c>
      <c r="C128" s="29" t="s">
        <v>52</v>
      </c>
      <c r="D128" s="30" t="s">
        <v>88</v>
      </c>
      <c r="E128" s="30" t="s">
        <v>19</v>
      </c>
      <c r="F128" s="30" t="s">
        <v>292</v>
      </c>
      <c r="G128" s="30" t="s">
        <v>142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/>
      <c r="O128" s="27">
        <f t="shared" si="4"/>
        <v>0</v>
      </c>
      <c r="P128" s="27"/>
      <c r="Q128" s="27"/>
      <c r="R128" s="20"/>
    </row>
    <row r="129" spans="1:38" ht="29.25" customHeight="1">
      <c r="A129" s="29"/>
      <c r="B129" s="30" t="s">
        <v>87</v>
      </c>
      <c r="C129" s="29" t="s">
        <v>52</v>
      </c>
      <c r="D129" s="30" t="s">
        <v>88</v>
      </c>
      <c r="E129" s="30" t="s">
        <v>19</v>
      </c>
      <c r="F129" s="30" t="s">
        <v>123</v>
      </c>
      <c r="G129" s="30" t="s">
        <v>122</v>
      </c>
      <c r="H129" s="25">
        <v>3</v>
      </c>
      <c r="I129" s="1"/>
      <c r="J129" s="26"/>
      <c r="K129" s="27">
        <f t="shared" si="3"/>
        <v>0</v>
      </c>
      <c r="L129" s="27"/>
      <c r="M129" s="27"/>
      <c r="N129" s="1">
        <v>1</v>
      </c>
      <c r="O129" s="27">
        <f t="shared" si="4"/>
        <v>0</v>
      </c>
      <c r="P129" s="27"/>
      <c r="Q129" s="27"/>
      <c r="R129" s="20"/>
    </row>
    <row r="130" spans="1:38" ht="26.25" customHeight="1">
      <c r="A130" s="24">
        <v>65</v>
      </c>
      <c r="B130" s="23" t="s">
        <v>89</v>
      </c>
      <c r="C130" s="24" t="s">
        <v>18</v>
      </c>
      <c r="D130" s="23"/>
      <c r="E130" s="23" t="s">
        <v>19</v>
      </c>
      <c r="F130" s="23" t="s">
        <v>292</v>
      </c>
      <c r="G130" s="23" t="s">
        <v>142</v>
      </c>
      <c r="H130" s="25">
        <v>2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0</v>
      </c>
      <c r="P130" s="27"/>
      <c r="Q130" s="27"/>
      <c r="R130" s="20"/>
    </row>
    <row r="131" spans="1:38" s="7" customFormat="1" ht="15" customHeight="1">
      <c r="A131" s="24"/>
      <c r="B131" s="23" t="s">
        <v>89</v>
      </c>
      <c r="C131" s="24" t="s">
        <v>18</v>
      </c>
      <c r="D131" s="23"/>
      <c r="E131" s="23" t="s">
        <v>19</v>
      </c>
      <c r="F131" s="23" t="s">
        <v>120</v>
      </c>
      <c r="G131" s="23" t="s">
        <v>122</v>
      </c>
      <c r="H131" s="25">
        <v>1</v>
      </c>
      <c r="I131" s="1"/>
      <c r="J131" s="26"/>
      <c r="K131" s="27">
        <f t="shared" si="3"/>
        <v>0</v>
      </c>
      <c r="L131" s="27"/>
      <c r="M131" s="27"/>
      <c r="N131" s="1">
        <v>1</v>
      </c>
      <c r="O131" s="27">
        <f t="shared" si="4"/>
        <v>0</v>
      </c>
      <c r="P131" s="27"/>
      <c r="Q131" s="27"/>
      <c r="R131" s="20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 spans="1:38" ht="15" customHeight="1">
      <c r="A132" s="24">
        <v>66</v>
      </c>
      <c r="B132" s="23" t="s">
        <v>90</v>
      </c>
      <c r="C132" s="24" t="s">
        <v>18</v>
      </c>
      <c r="D132" s="23"/>
      <c r="E132" s="23" t="s">
        <v>19</v>
      </c>
      <c r="F132" s="23" t="s">
        <v>292</v>
      </c>
      <c r="G132" s="23" t="s">
        <v>142</v>
      </c>
      <c r="H132" s="25">
        <v>2</v>
      </c>
      <c r="I132" s="1"/>
      <c r="J132" s="26"/>
      <c r="K132" s="27">
        <f t="shared" si="3"/>
        <v>0</v>
      </c>
      <c r="L132" s="27"/>
      <c r="M132" s="27"/>
      <c r="N132" s="1">
        <v>1</v>
      </c>
      <c r="O132" s="27">
        <f t="shared" si="4"/>
        <v>0</v>
      </c>
      <c r="P132" s="27"/>
      <c r="Q132" s="27"/>
      <c r="R132" s="20"/>
    </row>
    <row r="133" spans="1:38" s="7" customFormat="1" ht="15" customHeight="1">
      <c r="A133" s="24">
        <v>67</v>
      </c>
      <c r="B133" s="23" t="s">
        <v>91</v>
      </c>
      <c r="C133" s="24" t="s">
        <v>18</v>
      </c>
      <c r="D133" s="23"/>
      <c r="E133" s="23" t="s">
        <v>92</v>
      </c>
      <c r="F133" s="23" t="s">
        <v>292</v>
      </c>
      <c r="G133" s="23" t="s">
        <v>142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>
        <v>10</v>
      </c>
      <c r="O133" s="27">
        <f t="shared" si="4"/>
        <v>0</v>
      </c>
      <c r="P133" s="27"/>
      <c r="Q133" s="27"/>
      <c r="R133" s="20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 spans="1:38" s="7" customFormat="1" ht="15" customHeight="1">
      <c r="A134" s="24"/>
      <c r="B134" s="23" t="s">
        <v>91</v>
      </c>
      <c r="C134" s="24" t="s">
        <v>18</v>
      </c>
      <c r="D134" s="23"/>
      <c r="E134" s="23" t="s">
        <v>92</v>
      </c>
      <c r="F134" s="23" t="s">
        <v>123</v>
      </c>
      <c r="G134" s="23" t="s">
        <v>136</v>
      </c>
      <c r="H134" s="25">
        <v>0</v>
      </c>
      <c r="I134" s="2"/>
      <c r="J134" s="26"/>
      <c r="K134" s="27">
        <f t="shared" si="3"/>
        <v>0</v>
      </c>
      <c r="L134" s="27"/>
      <c r="M134" s="27"/>
      <c r="N134" s="2">
        <v>2</v>
      </c>
      <c r="O134" s="27">
        <f t="shared" si="4"/>
        <v>0</v>
      </c>
      <c r="P134" s="27"/>
      <c r="Q134" s="27"/>
      <c r="R134" s="20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</row>
    <row r="135" spans="1:38" ht="15" customHeight="1">
      <c r="A135" s="24">
        <v>68</v>
      </c>
      <c r="B135" s="23" t="s">
        <v>93</v>
      </c>
      <c r="C135" s="24" t="s">
        <v>18</v>
      </c>
      <c r="D135" s="23"/>
      <c r="E135" s="23" t="s">
        <v>19</v>
      </c>
      <c r="F135" s="23" t="s">
        <v>123</v>
      </c>
      <c r="G135" s="23" t="s">
        <v>142</v>
      </c>
      <c r="H135" s="25">
        <v>0</v>
      </c>
      <c r="I135" s="2"/>
      <c r="J135" s="26"/>
      <c r="K135" s="27">
        <f t="shared" si="3"/>
        <v>0</v>
      </c>
      <c r="L135" s="27"/>
      <c r="M135" s="27"/>
      <c r="N135" s="2">
        <v>1</v>
      </c>
      <c r="O135" s="27">
        <f t="shared" si="4"/>
        <v>0</v>
      </c>
      <c r="P135" s="27"/>
      <c r="Q135" s="27"/>
      <c r="R135" s="20"/>
    </row>
    <row r="136" spans="1:38" s="17" customFormat="1" ht="15" customHeight="1">
      <c r="A136" s="24"/>
      <c r="B136" s="23" t="s">
        <v>93</v>
      </c>
      <c r="C136" s="24" t="s">
        <v>18</v>
      </c>
      <c r="D136" s="23"/>
      <c r="E136" s="23" t="s">
        <v>19</v>
      </c>
      <c r="F136" s="23" t="s">
        <v>120</v>
      </c>
      <c r="G136" s="23" t="s">
        <v>131</v>
      </c>
      <c r="H136" s="25">
        <v>0</v>
      </c>
      <c r="I136" s="1"/>
      <c r="J136" s="26"/>
      <c r="K136" s="27">
        <f t="shared" si="3"/>
        <v>0</v>
      </c>
      <c r="L136" s="27"/>
      <c r="M136" s="27"/>
      <c r="N136" s="1"/>
      <c r="O136" s="27">
        <f t="shared" si="4"/>
        <v>0</v>
      </c>
      <c r="P136" s="27"/>
      <c r="Q136" s="27"/>
      <c r="R136" s="20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</row>
    <row r="137" spans="1:38" ht="15" customHeight="1">
      <c r="A137" s="24"/>
      <c r="B137" s="23" t="s">
        <v>93</v>
      </c>
      <c r="C137" s="24" t="s">
        <v>18</v>
      </c>
      <c r="D137" s="23"/>
      <c r="E137" s="23"/>
      <c r="F137" s="23" t="s">
        <v>268</v>
      </c>
      <c r="G137" s="23" t="s">
        <v>122</v>
      </c>
      <c r="H137" s="25">
        <v>4</v>
      </c>
      <c r="I137" s="1"/>
      <c r="J137" s="26"/>
      <c r="K137" s="27">
        <f t="shared" si="3"/>
        <v>0</v>
      </c>
      <c r="L137" s="27"/>
      <c r="M137" s="27"/>
      <c r="N137" s="1"/>
      <c r="O137" s="27">
        <f t="shared" si="4"/>
        <v>0</v>
      </c>
      <c r="P137" s="27"/>
      <c r="Q137" s="27"/>
      <c r="R137" s="20"/>
    </row>
    <row r="138" spans="1:38" ht="15" customHeight="1">
      <c r="A138" s="24">
        <v>69</v>
      </c>
      <c r="B138" s="23" t="s">
        <v>281</v>
      </c>
      <c r="C138" s="24" t="s">
        <v>18</v>
      </c>
      <c r="D138" s="23"/>
      <c r="E138" s="23" t="s">
        <v>19</v>
      </c>
      <c r="F138" s="23" t="s">
        <v>123</v>
      </c>
      <c r="G138" s="23" t="s">
        <v>142</v>
      </c>
      <c r="H138" s="25">
        <v>3</v>
      </c>
      <c r="I138" s="1">
        <v>1</v>
      </c>
      <c r="J138" s="26">
        <v>1</v>
      </c>
      <c r="K138" s="27">
        <f t="shared" si="3"/>
        <v>0</v>
      </c>
      <c r="L138" s="27"/>
      <c r="M138" s="27"/>
      <c r="N138" s="1">
        <v>1</v>
      </c>
      <c r="O138" s="27">
        <f t="shared" si="4"/>
        <v>0</v>
      </c>
      <c r="P138" s="27"/>
      <c r="Q138" s="27"/>
      <c r="R138" s="20"/>
    </row>
    <row r="139" spans="1:38" ht="15" customHeight="1">
      <c r="A139" s="24"/>
      <c r="B139" s="23" t="s">
        <v>281</v>
      </c>
      <c r="C139" s="24" t="s">
        <v>18</v>
      </c>
      <c r="D139" s="23"/>
      <c r="E139" s="23" t="s">
        <v>19</v>
      </c>
      <c r="F139" s="23" t="s">
        <v>285</v>
      </c>
      <c r="G139" s="23" t="s">
        <v>131</v>
      </c>
      <c r="H139" s="25">
        <v>0</v>
      </c>
      <c r="I139" s="1"/>
      <c r="J139" s="26"/>
      <c r="K139" s="27">
        <f t="shared" si="3"/>
        <v>0</v>
      </c>
      <c r="L139" s="27"/>
      <c r="M139" s="27"/>
      <c r="N139" s="1">
        <v>1</v>
      </c>
      <c r="O139" s="27">
        <f t="shared" si="4"/>
        <v>0</v>
      </c>
      <c r="P139" s="27"/>
      <c r="Q139" s="27"/>
      <c r="R139" s="20"/>
    </row>
    <row r="140" spans="1:38" ht="15" customHeight="1">
      <c r="A140" s="24"/>
      <c r="B140" s="23" t="s">
        <v>281</v>
      </c>
      <c r="C140" s="24" t="s">
        <v>18</v>
      </c>
      <c r="D140" s="23"/>
      <c r="E140" s="23" t="s">
        <v>19</v>
      </c>
      <c r="F140" s="23" t="s">
        <v>120</v>
      </c>
      <c r="G140" s="23" t="s">
        <v>122</v>
      </c>
      <c r="H140" s="25">
        <v>6</v>
      </c>
      <c r="I140" s="1"/>
      <c r="J140" s="26"/>
      <c r="K140" s="27">
        <f t="shared" si="3"/>
        <v>0</v>
      </c>
      <c r="L140" s="27"/>
      <c r="M140" s="27"/>
      <c r="N140" s="1">
        <v>1</v>
      </c>
      <c r="O140" s="27">
        <f t="shared" si="4"/>
        <v>0</v>
      </c>
      <c r="P140" s="27"/>
      <c r="Q140" s="27"/>
      <c r="R140" s="20"/>
    </row>
    <row r="141" spans="1:38" ht="15" customHeight="1">
      <c r="A141" s="24">
        <v>70</v>
      </c>
      <c r="B141" s="23" t="s">
        <v>94</v>
      </c>
      <c r="C141" s="24" t="s">
        <v>18</v>
      </c>
      <c r="D141" s="23"/>
      <c r="E141" s="23" t="s">
        <v>95</v>
      </c>
      <c r="F141" s="23" t="s">
        <v>292</v>
      </c>
      <c r="G141" s="23" t="s">
        <v>142</v>
      </c>
      <c r="H141" s="25">
        <v>9</v>
      </c>
      <c r="I141" s="1">
        <v>4</v>
      </c>
      <c r="J141" s="26">
        <v>4</v>
      </c>
      <c r="K141" s="27">
        <f t="shared" si="3"/>
        <v>0</v>
      </c>
      <c r="L141" s="27"/>
      <c r="M141" s="27"/>
      <c r="N141" s="1">
        <v>6</v>
      </c>
      <c r="O141" s="27">
        <f t="shared" si="4"/>
        <v>0</v>
      </c>
      <c r="P141" s="27"/>
      <c r="Q141" s="27"/>
      <c r="R141" s="20"/>
    </row>
    <row r="142" spans="1:38" s="7" customFormat="1" ht="15" customHeight="1">
      <c r="A142" s="24"/>
      <c r="B142" s="23" t="s">
        <v>128</v>
      </c>
      <c r="C142" s="24" t="s">
        <v>18</v>
      </c>
      <c r="D142" s="23"/>
      <c r="E142" s="23" t="s">
        <v>95</v>
      </c>
      <c r="F142" s="23" t="s">
        <v>319</v>
      </c>
      <c r="G142" s="23" t="s">
        <v>124</v>
      </c>
      <c r="H142" s="25">
        <v>1</v>
      </c>
      <c r="I142" s="1"/>
      <c r="J142" s="26"/>
      <c r="K142" s="27">
        <f t="shared" si="3"/>
        <v>0</v>
      </c>
      <c r="L142" s="27"/>
      <c r="M142" s="27"/>
      <c r="N142" s="1">
        <v>2</v>
      </c>
      <c r="O142" s="27">
        <f t="shared" si="4"/>
        <v>2753.33</v>
      </c>
      <c r="P142" s="27">
        <v>2753.33</v>
      </c>
      <c r="Q142" s="27"/>
      <c r="R142" s="20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 spans="1:38" ht="15" customHeight="1">
      <c r="A143" s="24"/>
      <c r="B143" s="23" t="s">
        <v>128</v>
      </c>
      <c r="C143" s="24" t="s">
        <v>18</v>
      </c>
      <c r="D143" s="23"/>
      <c r="E143" s="23" t="s">
        <v>95</v>
      </c>
      <c r="F143" s="23" t="s">
        <v>123</v>
      </c>
      <c r="G143" s="23" t="s">
        <v>131</v>
      </c>
      <c r="H143" s="25">
        <v>0</v>
      </c>
      <c r="I143" s="2"/>
      <c r="J143" s="26"/>
      <c r="K143" s="27">
        <f t="shared" si="3"/>
        <v>0</v>
      </c>
      <c r="L143" s="27"/>
      <c r="M143" s="27"/>
      <c r="N143" s="2"/>
      <c r="O143" s="27">
        <f t="shared" si="4"/>
        <v>0</v>
      </c>
      <c r="P143" s="27"/>
      <c r="Q143" s="27"/>
      <c r="R143" s="20"/>
    </row>
    <row r="144" spans="1:38" ht="15" customHeight="1">
      <c r="A144" s="24">
        <v>71</v>
      </c>
      <c r="B144" s="23" t="s">
        <v>96</v>
      </c>
      <c r="C144" s="24" t="s">
        <v>18</v>
      </c>
      <c r="D144" s="23"/>
      <c r="E144" s="23" t="s">
        <v>19</v>
      </c>
      <c r="F144" s="23" t="s">
        <v>120</v>
      </c>
      <c r="G144" s="23" t="s">
        <v>142</v>
      </c>
      <c r="H144" s="25">
        <v>3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96</v>
      </c>
      <c r="C145" s="24" t="s">
        <v>18</v>
      </c>
      <c r="D145" s="23"/>
      <c r="E145" s="23" t="s">
        <v>19</v>
      </c>
      <c r="F145" s="23" t="s">
        <v>292</v>
      </c>
      <c r="G145" s="23" t="s">
        <v>131</v>
      </c>
      <c r="H145" s="25">
        <v>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0</v>
      </c>
      <c r="P145" s="27"/>
      <c r="Q145" s="27"/>
      <c r="R145" s="20"/>
    </row>
    <row r="146" spans="1:38" ht="15" customHeight="1">
      <c r="A146" s="24"/>
      <c r="B146" s="23" t="s">
        <v>96</v>
      </c>
      <c r="C146" s="24" t="s">
        <v>18</v>
      </c>
      <c r="D146" s="23"/>
      <c r="E146" s="23" t="s">
        <v>19</v>
      </c>
      <c r="F146" s="23" t="s">
        <v>292</v>
      </c>
      <c r="G146" s="23" t="s">
        <v>122</v>
      </c>
      <c r="H146" s="25">
        <v>3</v>
      </c>
      <c r="I146" s="1"/>
      <c r="J146" s="26"/>
      <c r="K146" s="27">
        <f t="shared" si="3"/>
        <v>0</v>
      </c>
      <c r="L146" s="27"/>
      <c r="M146" s="27"/>
      <c r="N146" s="1">
        <v>1</v>
      </c>
      <c r="O146" s="27">
        <f t="shared" si="4"/>
        <v>0</v>
      </c>
      <c r="P146" s="27"/>
      <c r="Q146" s="27"/>
      <c r="R146" s="20"/>
    </row>
    <row r="147" spans="1:38" ht="15" customHeight="1">
      <c r="A147" s="24"/>
      <c r="B147" s="23" t="s">
        <v>96</v>
      </c>
      <c r="C147" s="24" t="s">
        <v>18</v>
      </c>
      <c r="D147" s="23"/>
      <c r="E147" s="22" t="s">
        <v>19</v>
      </c>
      <c r="F147" s="23" t="s">
        <v>292</v>
      </c>
      <c r="G147" s="22" t="s">
        <v>136</v>
      </c>
      <c r="H147" s="45">
        <v>1</v>
      </c>
      <c r="I147" s="1"/>
      <c r="J147" s="26"/>
      <c r="K147" s="27">
        <f t="shared" ref="K147:K189" si="6">L147+M147</f>
        <v>0</v>
      </c>
      <c r="L147" s="27"/>
      <c r="M147" s="27"/>
      <c r="N147" s="1"/>
      <c r="O147" s="27">
        <f t="shared" si="4"/>
        <v>0</v>
      </c>
      <c r="P147" s="27"/>
      <c r="Q147" s="27"/>
      <c r="R147" s="20"/>
    </row>
    <row r="148" spans="1:38" ht="15" customHeight="1">
      <c r="A148" s="24">
        <v>72</v>
      </c>
      <c r="B148" s="23" t="s">
        <v>97</v>
      </c>
      <c r="C148" s="24" t="s">
        <v>18</v>
      </c>
      <c r="D148" s="23"/>
      <c r="E148" s="23" t="s">
        <v>19</v>
      </c>
      <c r="F148" s="23" t="s">
        <v>120</v>
      </c>
      <c r="G148" s="23" t="s">
        <v>142</v>
      </c>
      <c r="H148" s="25">
        <v>3</v>
      </c>
      <c r="I148" s="1"/>
      <c r="J148" s="26"/>
      <c r="K148" s="27">
        <f t="shared" si="6"/>
        <v>0</v>
      </c>
      <c r="L148" s="27"/>
      <c r="M148" s="27"/>
      <c r="N148" s="1"/>
      <c r="O148" s="27">
        <f t="shared" si="4"/>
        <v>0</v>
      </c>
      <c r="P148" s="27"/>
      <c r="Q148" s="27"/>
      <c r="R148" s="20"/>
    </row>
    <row r="149" spans="1:38" ht="15" customHeight="1">
      <c r="A149" s="24">
        <v>73</v>
      </c>
      <c r="B149" s="23" t="s">
        <v>98</v>
      </c>
      <c r="C149" s="24" t="s">
        <v>18</v>
      </c>
      <c r="D149" s="23"/>
      <c r="E149" s="23" t="s">
        <v>19</v>
      </c>
      <c r="F149" s="23" t="s">
        <v>120</v>
      </c>
      <c r="G149" s="23" t="s">
        <v>142</v>
      </c>
      <c r="H149" s="25">
        <v>5</v>
      </c>
      <c r="I149" s="1">
        <v>4</v>
      </c>
      <c r="J149" s="26">
        <v>4</v>
      </c>
      <c r="K149" s="27">
        <f t="shared" si="6"/>
        <v>0</v>
      </c>
      <c r="L149" s="27"/>
      <c r="M149" s="27"/>
      <c r="N149" s="1">
        <v>5</v>
      </c>
      <c r="O149" s="27">
        <f t="shared" si="4"/>
        <v>0</v>
      </c>
      <c r="P149" s="27"/>
      <c r="Q149" s="27"/>
      <c r="R149" s="20"/>
    </row>
    <row r="150" spans="1:38" ht="15" customHeight="1">
      <c r="A150" s="24">
        <v>74</v>
      </c>
      <c r="B150" s="23" t="s">
        <v>99</v>
      </c>
      <c r="C150" s="24" t="s">
        <v>18</v>
      </c>
      <c r="D150" s="23"/>
      <c r="E150" s="23" t="s">
        <v>19</v>
      </c>
      <c r="F150" s="23" t="s">
        <v>120</v>
      </c>
      <c r="G150" s="23" t="s">
        <v>142</v>
      </c>
      <c r="H150" s="25">
        <v>0</v>
      </c>
      <c r="I150" s="1"/>
      <c r="J150" s="26"/>
      <c r="K150" s="27">
        <f t="shared" si="6"/>
        <v>0</v>
      </c>
      <c r="L150" s="27"/>
      <c r="M150" s="27"/>
      <c r="N150" s="1"/>
      <c r="O150" s="27">
        <f t="shared" si="4"/>
        <v>0</v>
      </c>
      <c r="P150" s="27"/>
      <c r="Q150" s="27"/>
      <c r="R150" s="20"/>
    </row>
    <row r="151" spans="1:38" ht="24.6" customHeight="1">
      <c r="A151" s="29">
        <v>75</v>
      </c>
      <c r="B151" s="30" t="s">
        <v>100</v>
      </c>
      <c r="C151" s="29" t="s">
        <v>30</v>
      </c>
      <c r="D151" s="30" t="s">
        <v>101</v>
      </c>
      <c r="E151" s="30" t="s">
        <v>19</v>
      </c>
      <c r="F151" s="23" t="s">
        <v>120</v>
      </c>
      <c r="G151" s="30" t="s">
        <v>142</v>
      </c>
      <c r="H151" s="25">
        <v>0</v>
      </c>
      <c r="I151" s="1"/>
      <c r="J151" s="26"/>
      <c r="K151" s="27">
        <f t="shared" si="6"/>
        <v>0</v>
      </c>
      <c r="L151" s="27"/>
      <c r="M151" s="27"/>
      <c r="N151" s="1"/>
      <c r="O151" s="27">
        <f t="shared" si="4"/>
        <v>0</v>
      </c>
      <c r="P151" s="27"/>
      <c r="Q151" s="27"/>
      <c r="R151" s="20"/>
    </row>
    <row r="152" spans="1:38" s="7" customFormat="1" ht="29.25" customHeight="1">
      <c r="A152" s="29"/>
      <c r="B152" s="30" t="s">
        <v>100</v>
      </c>
      <c r="C152" s="29" t="s">
        <v>30</v>
      </c>
      <c r="D152" s="30" t="s">
        <v>101</v>
      </c>
      <c r="E152" s="30" t="s">
        <v>19</v>
      </c>
      <c r="F152" s="30" t="s">
        <v>292</v>
      </c>
      <c r="G152" s="30" t="s">
        <v>122</v>
      </c>
      <c r="H152" s="25">
        <v>0</v>
      </c>
      <c r="I152" s="1"/>
      <c r="J152" s="26"/>
      <c r="K152" s="27">
        <f t="shared" si="6"/>
        <v>0</v>
      </c>
      <c r="L152" s="27"/>
      <c r="M152" s="27"/>
      <c r="N152" s="1"/>
      <c r="O152" s="27">
        <f t="shared" si="4"/>
        <v>0</v>
      </c>
      <c r="P152" s="27"/>
      <c r="Q152" s="27"/>
      <c r="R152" s="20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 spans="1:38" ht="26.25" customHeight="1">
      <c r="A153" s="46">
        <v>76</v>
      </c>
      <c r="B153" s="60" t="s">
        <v>144</v>
      </c>
      <c r="C153" s="46" t="s">
        <v>18</v>
      </c>
      <c r="D153" s="60"/>
      <c r="E153" s="60" t="s">
        <v>104</v>
      </c>
      <c r="F153" s="60" t="s">
        <v>120</v>
      </c>
      <c r="G153" s="60" t="s">
        <v>142</v>
      </c>
      <c r="H153" s="61">
        <v>0</v>
      </c>
      <c r="I153" s="1"/>
      <c r="J153" s="26"/>
      <c r="K153" s="27">
        <f t="shared" si="6"/>
        <v>0</v>
      </c>
      <c r="L153" s="63"/>
      <c r="M153" s="63"/>
      <c r="N153" s="1"/>
      <c r="O153" s="63">
        <f t="shared" si="4"/>
        <v>0</v>
      </c>
      <c r="P153" s="63"/>
      <c r="Q153" s="63"/>
      <c r="R153" s="20"/>
    </row>
    <row r="154" spans="1:38" ht="15.75" customHeight="1">
      <c r="A154" s="24">
        <v>77</v>
      </c>
      <c r="B154" s="23" t="s">
        <v>102</v>
      </c>
      <c r="C154" s="24" t="s">
        <v>18</v>
      </c>
      <c r="D154" s="23"/>
      <c r="E154" s="23" t="s">
        <v>19</v>
      </c>
      <c r="F154" s="60" t="s">
        <v>120</v>
      </c>
      <c r="G154" s="23" t="s">
        <v>142</v>
      </c>
      <c r="H154" s="25">
        <v>0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20"/>
    </row>
    <row r="155" spans="1:38" ht="15" customHeight="1">
      <c r="A155" s="24">
        <v>78</v>
      </c>
      <c r="B155" s="23" t="s">
        <v>103</v>
      </c>
      <c r="C155" s="24" t="s">
        <v>18</v>
      </c>
      <c r="D155" s="23"/>
      <c r="E155" s="23" t="s">
        <v>19</v>
      </c>
      <c r="F155" s="60" t="s">
        <v>120</v>
      </c>
      <c r="G155" s="23" t="s">
        <v>142</v>
      </c>
      <c r="H155" s="25">
        <v>0</v>
      </c>
      <c r="I155" s="1"/>
      <c r="J155" s="26"/>
      <c r="K155" s="27">
        <f t="shared" si="6"/>
        <v>0</v>
      </c>
      <c r="L155" s="27"/>
      <c r="M155" s="27"/>
      <c r="N155" s="1">
        <v>1</v>
      </c>
      <c r="O155" s="27">
        <f t="shared" si="4"/>
        <v>0</v>
      </c>
      <c r="P155" s="27"/>
      <c r="Q155" s="27"/>
      <c r="R155" s="20"/>
    </row>
    <row r="156" spans="1:38" ht="15" customHeight="1">
      <c r="A156" s="24"/>
      <c r="B156" s="23" t="s">
        <v>103</v>
      </c>
      <c r="C156" s="24" t="s">
        <v>18</v>
      </c>
      <c r="D156" s="23"/>
      <c r="E156" s="23" t="s">
        <v>19</v>
      </c>
      <c r="F156" s="23" t="s">
        <v>298</v>
      </c>
      <c r="G156" s="23" t="s">
        <v>122</v>
      </c>
      <c r="H156" s="25">
        <v>3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ht="15" customHeight="1">
      <c r="A157" s="24">
        <v>79</v>
      </c>
      <c r="B157" s="23" t="s">
        <v>302</v>
      </c>
      <c r="C157" s="24" t="s">
        <v>18</v>
      </c>
      <c r="D157" s="23"/>
      <c r="E157" s="23" t="s">
        <v>19</v>
      </c>
      <c r="F157" s="23" t="s">
        <v>311</v>
      </c>
      <c r="G157" s="23" t="s">
        <v>122</v>
      </c>
      <c r="H157" s="25">
        <v>4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</row>
    <row r="158" spans="1:38" ht="15" customHeight="1">
      <c r="A158" s="24">
        <v>80</v>
      </c>
      <c r="B158" s="23" t="s">
        <v>328</v>
      </c>
      <c r="C158" s="24" t="s">
        <v>18</v>
      </c>
      <c r="D158" s="23"/>
      <c r="E158" s="23" t="s">
        <v>19</v>
      </c>
      <c r="F158" s="23" t="s">
        <v>329</v>
      </c>
      <c r="G158" s="23" t="s">
        <v>122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20"/>
    </row>
    <row r="159" spans="1:38" ht="15" customHeight="1">
      <c r="A159" s="24">
        <v>81</v>
      </c>
      <c r="B159" s="23" t="s">
        <v>314</v>
      </c>
      <c r="C159" s="24" t="s">
        <v>18</v>
      </c>
      <c r="D159" s="23"/>
      <c r="E159" s="23" t="s">
        <v>19</v>
      </c>
      <c r="F159" s="23" t="s">
        <v>294</v>
      </c>
      <c r="G159" s="23" t="s">
        <v>142</v>
      </c>
      <c r="H159" s="25">
        <v>1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ht="15" customHeight="1">
      <c r="A160" s="24">
        <v>82</v>
      </c>
      <c r="B160" s="23" t="s">
        <v>330</v>
      </c>
      <c r="C160" s="24" t="s">
        <v>18</v>
      </c>
      <c r="D160" s="23"/>
      <c r="E160" s="23" t="s">
        <v>104</v>
      </c>
      <c r="F160" s="23" t="s">
        <v>268</v>
      </c>
      <c r="G160" s="23" t="s">
        <v>131</v>
      </c>
      <c r="H160" s="25">
        <v>3</v>
      </c>
      <c r="I160" s="1"/>
      <c r="J160" s="26"/>
      <c r="K160" s="27"/>
      <c r="L160" s="27"/>
      <c r="M160" s="27"/>
      <c r="N160" s="1"/>
      <c r="O160" s="27"/>
      <c r="P160" s="27"/>
      <c r="Q160" s="27"/>
      <c r="R160" s="20"/>
    </row>
    <row r="161" spans="1:38" s="28" customFormat="1" ht="15" customHeight="1">
      <c r="A161" s="24"/>
      <c r="B161" s="23" t="s">
        <v>330</v>
      </c>
      <c r="C161" s="24" t="s">
        <v>18</v>
      </c>
      <c r="D161" s="23"/>
      <c r="E161" s="23" t="s">
        <v>19</v>
      </c>
      <c r="F161" s="23" t="s">
        <v>331</v>
      </c>
      <c r="G161" s="23" t="s">
        <v>122</v>
      </c>
      <c r="H161" s="25">
        <v>0</v>
      </c>
      <c r="I161" s="1"/>
      <c r="J161" s="26"/>
      <c r="K161" s="27">
        <f t="shared" si="6"/>
        <v>0</v>
      </c>
      <c r="L161" s="27"/>
      <c r="M161" s="27"/>
      <c r="N161" s="1"/>
      <c r="O161" s="27">
        <f t="shared" si="4"/>
        <v>0</v>
      </c>
      <c r="P161" s="27"/>
      <c r="Q161" s="27"/>
      <c r="R161" s="31"/>
    </row>
    <row r="162" spans="1:38" ht="24.75" customHeight="1">
      <c r="A162" s="29">
        <v>83</v>
      </c>
      <c r="B162" s="30" t="s">
        <v>105</v>
      </c>
      <c r="C162" s="29" t="s">
        <v>30</v>
      </c>
      <c r="D162" s="30" t="s">
        <v>106</v>
      </c>
      <c r="E162" s="30" t="s">
        <v>19</v>
      </c>
      <c r="F162" s="30" t="s">
        <v>123</v>
      </c>
      <c r="G162" s="30" t="s">
        <v>142</v>
      </c>
      <c r="H162" s="25">
        <v>6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24.75" customHeight="1">
      <c r="A163" s="29">
        <v>84</v>
      </c>
      <c r="B163" s="30" t="s">
        <v>315</v>
      </c>
      <c r="C163" s="29" t="s">
        <v>18</v>
      </c>
      <c r="D163" s="30"/>
      <c r="E163" s="30" t="s">
        <v>19</v>
      </c>
      <c r="F163" s="30" t="s">
        <v>268</v>
      </c>
      <c r="G163" s="30" t="s">
        <v>142</v>
      </c>
      <c r="H163" s="25">
        <v>2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s="28" customFormat="1" ht="24.75" customHeight="1">
      <c r="A164" s="29"/>
      <c r="B164" s="30" t="s">
        <v>315</v>
      </c>
      <c r="C164" s="29" t="s">
        <v>18</v>
      </c>
      <c r="D164" s="30"/>
      <c r="E164" s="30" t="s">
        <v>322</v>
      </c>
      <c r="F164" s="30" t="s">
        <v>323</v>
      </c>
      <c r="G164" s="30" t="s">
        <v>124</v>
      </c>
      <c r="H164" s="25">
        <v>0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31"/>
    </row>
    <row r="165" spans="1:38" s="7" customFormat="1" ht="38.450000000000003" customHeight="1">
      <c r="A165" s="29">
        <v>85</v>
      </c>
      <c r="B165" s="30" t="s">
        <v>265</v>
      </c>
      <c r="C165" s="29" t="s">
        <v>18</v>
      </c>
      <c r="D165" s="30"/>
      <c r="E165" s="30" t="s">
        <v>19</v>
      </c>
      <c r="F165" s="30" t="s">
        <v>123</v>
      </c>
      <c r="G165" s="30" t="s">
        <v>142</v>
      </c>
      <c r="H165" s="25">
        <v>0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20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</row>
    <row r="166" spans="1:38" s="7" customFormat="1" ht="38.450000000000003" customHeight="1">
      <c r="A166" s="24">
        <v>86</v>
      </c>
      <c r="B166" s="23" t="s">
        <v>107</v>
      </c>
      <c r="C166" s="24" t="s">
        <v>18</v>
      </c>
      <c r="D166" s="23"/>
      <c r="E166" s="23" t="s">
        <v>41</v>
      </c>
      <c r="F166" s="30" t="s">
        <v>123</v>
      </c>
      <c r="G166" s="23" t="s">
        <v>142</v>
      </c>
      <c r="H166" s="25">
        <v>1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20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</row>
    <row r="167" spans="1:38" ht="15.75" customHeight="1">
      <c r="A167" s="24"/>
      <c r="B167" s="23" t="s">
        <v>107</v>
      </c>
      <c r="C167" s="24" t="s">
        <v>18</v>
      </c>
      <c r="D167" s="23"/>
      <c r="E167" s="23" t="s">
        <v>41</v>
      </c>
      <c r="F167" s="23" t="s">
        <v>295</v>
      </c>
      <c r="G167" s="23" t="s">
        <v>136</v>
      </c>
      <c r="H167" s="25">
        <v>5</v>
      </c>
      <c r="I167" s="2"/>
      <c r="J167" s="26"/>
      <c r="K167" s="27">
        <f t="shared" si="6"/>
        <v>0</v>
      </c>
      <c r="L167" s="27"/>
      <c r="M167" s="27"/>
      <c r="N167" s="2">
        <v>8</v>
      </c>
      <c r="O167" s="27">
        <f t="shared" si="4"/>
        <v>0</v>
      </c>
      <c r="P167" s="27"/>
      <c r="Q167" s="27"/>
      <c r="R167" s="20"/>
    </row>
    <row r="168" spans="1:38" ht="16.5" customHeight="1">
      <c r="A168" s="24">
        <v>87</v>
      </c>
      <c r="B168" s="23" t="s">
        <v>108</v>
      </c>
      <c r="C168" s="24" t="s">
        <v>18</v>
      </c>
      <c r="D168" s="23"/>
      <c r="E168" s="23" t="s">
        <v>19</v>
      </c>
      <c r="F168" s="23" t="s">
        <v>292</v>
      </c>
      <c r="G168" s="23" t="s">
        <v>142</v>
      </c>
      <c r="H168" s="25">
        <v>12</v>
      </c>
      <c r="I168" s="1">
        <v>8</v>
      </c>
      <c r="J168" s="26">
        <v>8</v>
      </c>
      <c r="K168" s="27">
        <f t="shared" si="6"/>
        <v>0</v>
      </c>
      <c r="L168" s="27"/>
      <c r="M168" s="27"/>
      <c r="N168" s="1">
        <v>3</v>
      </c>
      <c r="O168" s="27">
        <f t="shared" si="4"/>
        <v>0</v>
      </c>
      <c r="P168" s="27"/>
      <c r="Q168" s="27"/>
      <c r="R168" s="20"/>
    </row>
    <row r="169" spans="1:38" s="7" customFormat="1" ht="16.5" customHeight="1">
      <c r="A169" s="24"/>
      <c r="B169" s="23" t="s">
        <v>108</v>
      </c>
      <c r="C169" s="24" t="s">
        <v>18</v>
      </c>
      <c r="D169" s="23"/>
      <c r="E169" s="23" t="s">
        <v>19</v>
      </c>
      <c r="F169" s="23" t="s">
        <v>0</v>
      </c>
      <c r="G169" s="23" t="s">
        <v>122</v>
      </c>
      <c r="H169" s="25">
        <v>1</v>
      </c>
      <c r="I169" s="1"/>
      <c r="J169" s="26"/>
      <c r="K169" s="27">
        <f t="shared" si="6"/>
        <v>0</v>
      </c>
      <c r="L169" s="27"/>
      <c r="M169" s="27"/>
      <c r="N169" s="1">
        <v>2</v>
      </c>
      <c r="O169" s="27">
        <f t="shared" si="4"/>
        <v>0</v>
      </c>
      <c r="P169" s="27"/>
      <c r="Q169" s="27"/>
      <c r="R169" s="20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</row>
    <row r="170" spans="1:38" s="7" customFormat="1" ht="16.5" customHeight="1">
      <c r="A170" s="24">
        <v>88</v>
      </c>
      <c r="B170" s="23" t="s">
        <v>146</v>
      </c>
      <c r="C170" s="24" t="s">
        <v>18</v>
      </c>
      <c r="D170" s="23"/>
      <c r="E170" s="23" t="s">
        <v>104</v>
      </c>
      <c r="F170" s="23" t="s">
        <v>291</v>
      </c>
      <c r="G170" s="23" t="s">
        <v>142</v>
      </c>
      <c r="H170" s="25">
        <v>0</v>
      </c>
      <c r="I170" s="1"/>
      <c r="J170" s="26"/>
      <c r="K170" s="27">
        <f t="shared" si="6"/>
        <v>0</v>
      </c>
      <c r="L170" s="27"/>
      <c r="M170" s="27"/>
      <c r="N170" s="1">
        <v>1</v>
      </c>
      <c r="O170" s="27">
        <f t="shared" si="4"/>
        <v>0</v>
      </c>
      <c r="P170" s="27"/>
      <c r="Q170" s="27"/>
      <c r="R170" s="20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</row>
    <row r="171" spans="1:38" ht="23.45" customHeight="1">
      <c r="A171" s="29">
        <v>89</v>
      </c>
      <c r="B171" s="30" t="s">
        <v>109</v>
      </c>
      <c r="C171" s="29" t="s">
        <v>52</v>
      </c>
      <c r="D171" s="30" t="s">
        <v>110</v>
      </c>
      <c r="E171" s="30" t="s">
        <v>19</v>
      </c>
      <c r="F171" s="30" t="s">
        <v>123</v>
      </c>
      <c r="G171" s="30" t="s">
        <v>142</v>
      </c>
      <c r="H171" s="25">
        <v>17</v>
      </c>
      <c r="I171" s="1">
        <v>8</v>
      </c>
      <c r="J171" s="26">
        <v>8</v>
      </c>
      <c r="K171" s="27">
        <f t="shared" si="6"/>
        <v>0</v>
      </c>
      <c r="L171" s="27"/>
      <c r="M171" s="27"/>
      <c r="N171" s="1">
        <v>9</v>
      </c>
      <c r="O171" s="27">
        <f t="shared" si="4"/>
        <v>0</v>
      </c>
      <c r="P171" s="27"/>
      <c r="Q171" s="27"/>
      <c r="R171" s="20"/>
    </row>
    <row r="172" spans="1:38" s="7" customFormat="1" ht="27" customHeight="1">
      <c r="A172" s="29"/>
      <c r="B172" s="30" t="s">
        <v>109</v>
      </c>
      <c r="C172" s="29" t="s">
        <v>52</v>
      </c>
      <c r="D172" s="30" t="s">
        <v>110</v>
      </c>
      <c r="E172" s="30" t="s">
        <v>19</v>
      </c>
      <c r="F172" s="30" t="s">
        <v>292</v>
      </c>
      <c r="G172" s="30" t="s">
        <v>122</v>
      </c>
      <c r="H172" s="25">
        <v>6</v>
      </c>
      <c r="I172" s="1"/>
      <c r="J172" s="26"/>
      <c r="K172" s="27">
        <f t="shared" si="6"/>
        <v>0</v>
      </c>
      <c r="L172" s="27"/>
      <c r="M172" s="27"/>
      <c r="N172" s="1">
        <v>9</v>
      </c>
      <c r="O172" s="27">
        <f t="shared" si="4"/>
        <v>0</v>
      </c>
      <c r="P172" s="27"/>
      <c r="Q172" s="27"/>
      <c r="R172" s="20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ht="27.75" customHeight="1">
      <c r="A173" s="24">
        <v>90</v>
      </c>
      <c r="B173" s="23" t="s">
        <v>111</v>
      </c>
      <c r="C173" s="24" t="s">
        <v>18</v>
      </c>
      <c r="D173" s="23"/>
      <c r="E173" s="23" t="s">
        <v>112</v>
      </c>
      <c r="F173" s="23" t="s">
        <v>268</v>
      </c>
      <c r="G173" s="23" t="s">
        <v>142</v>
      </c>
      <c r="H173" s="25">
        <v>3</v>
      </c>
      <c r="I173" s="1"/>
      <c r="J173" s="26"/>
      <c r="K173" s="27">
        <f t="shared" si="6"/>
        <v>0</v>
      </c>
      <c r="L173" s="27"/>
      <c r="M173" s="27"/>
      <c r="N173" s="1"/>
      <c r="O173" s="27">
        <f t="shared" si="4"/>
        <v>0</v>
      </c>
      <c r="P173" s="27"/>
      <c r="Q173" s="27"/>
      <c r="R173" s="20"/>
    </row>
    <row r="174" spans="1:38" ht="16.5" customHeight="1">
      <c r="A174" s="24"/>
      <c r="B174" s="23" t="s">
        <v>111</v>
      </c>
      <c r="C174" s="24" t="s">
        <v>18</v>
      </c>
      <c r="D174" s="23"/>
      <c r="E174" s="23" t="s">
        <v>112</v>
      </c>
      <c r="F174" s="23" t="s">
        <v>123</v>
      </c>
      <c r="G174" s="23" t="s">
        <v>136</v>
      </c>
      <c r="H174" s="25">
        <v>4</v>
      </c>
      <c r="I174" s="2"/>
      <c r="J174" s="26"/>
      <c r="K174" s="27">
        <f t="shared" si="6"/>
        <v>0</v>
      </c>
      <c r="L174" s="27"/>
      <c r="M174" s="27"/>
      <c r="N174" s="2">
        <v>2</v>
      </c>
      <c r="O174" s="27">
        <f t="shared" si="4"/>
        <v>0</v>
      </c>
      <c r="P174" s="27"/>
      <c r="Q174" s="27"/>
      <c r="R174" s="20"/>
    </row>
    <row r="175" spans="1:38" ht="16.5" customHeight="1">
      <c r="A175" s="24">
        <v>91</v>
      </c>
      <c r="B175" s="23" t="s">
        <v>113</v>
      </c>
      <c r="C175" s="24" t="s">
        <v>18</v>
      </c>
      <c r="D175" s="23"/>
      <c r="E175" s="23" t="s">
        <v>19</v>
      </c>
      <c r="F175" s="23" t="s">
        <v>120</v>
      </c>
      <c r="G175" s="23" t="s">
        <v>142</v>
      </c>
      <c r="H175" s="25">
        <v>0</v>
      </c>
      <c r="I175" s="1"/>
      <c r="J175" s="26"/>
      <c r="K175" s="27">
        <f t="shared" si="6"/>
        <v>0</v>
      </c>
      <c r="L175" s="27"/>
      <c r="M175" s="27"/>
      <c r="N175" s="1">
        <v>1</v>
      </c>
      <c r="O175" s="27">
        <f t="shared" si="4"/>
        <v>0</v>
      </c>
      <c r="P175" s="27"/>
      <c r="Q175" s="27"/>
      <c r="R175" s="20"/>
    </row>
    <row r="176" spans="1:38" ht="18.75" customHeight="1">
      <c r="A176" s="24"/>
      <c r="B176" s="23" t="s">
        <v>113</v>
      </c>
      <c r="C176" s="24" t="s">
        <v>18</v>
      </c>
      <c r="D176" s="23"/>
      <c r="E176" s="23" t="s">
        <v>19</v>
      </c>
      <c r="F176" s="23" t="s">
        <v>292</v>
      </c>
      <c r="G176" s="23" t="s">
        <v>122</v>
      </c>
      <c r="H176" s="25">
        <v>5</v>
      </c>
      <c r="I176" s="1"/>
      <c r="J176" s="26"/>
      <c r="K176" s="27">
        <f t="shared" si="6"/>
        <v>0</v>
      </c>
      <c r="L176" s="27"/>
      <c r="M176" s="27"/>
      <c r="N176" s="1">
        <v>6</v>
      </c>
      <c r="O176" s="27">
        <f t="shared" si="4"/>
        <v>0</v>
      </c>
      <c r="P176" s="27"/>
      <c r="Q176" s="27"/>
      <c r="R176" s="20"/>
    </row>
    <row r="177" spans="1:44" ht="12.6" customHeight="1">
      <c r="A177" s="24">
        <v>92</v>
      </c>
      <c r="B177" s="23" t="s">
        <v>114</v>
      </c>
      <c r="C177" s="24" t="s">
        <v>18</v>
      </c>
      <c r="D177" s="23"/>
      <c r="E177" s="23" t="s">
        <v>41</v>
      </c>
      <c r="F177" s="23" t="s">
        <v>268</v>
      </c>
      <c r="G177" s="23" t="s">
        <v>142</v>
      </c>
      <c r="H177" s="25">
        <v>2</v>
      </c>
      <c r="I177" s="1"/>
      <c r="J177" s="26"/>
      <c r="K177" s="27">
        <f t="shared" si="6"/>
        <v>0</v>
      </c>
      <c r="L177" s="27"/>
      <c r="M177" s="27"/>
      <c r="N177" s="1"/>
      <c r="O177" s="27">
        <f t="shared" si="4"/>
        <v>0</v>
      </c>
      <c r="P177" s="27"/>
      <c r="Q177" s="27"/>
      <c r="R177" s="20"/>
    </row>
    <row r="178" spans="1:44" ht="16.899999999999999" customHeight="1">
      <c r="A178" s="24"/>
      <c r="B178" s="23" t="s">
        <v>141</v>
      </c>
      <c r="C178" s="24" t="s">
        <v>18</v>
      </c>
      <c r="D178" s="23"/>
      <c r="E178" s="23" t="s">
        <v>41</v>
      </c>
      <c r="F178" s="23" t="s">
        <v>295</v>
      </c>
      <c r="G178" s="23" t="s">
        <v>136</v>
      </c>
      <c r="H178" s="25">
        <v>2</v>
      </c>
      <c r="I178" s="2"/>
      <c r="J178" s="26"/>
      <c r="K178" s="27">
        <f t="shared" si="6"/>
        <v>0</v>
      </c>
      <c r="L178" s="27"/>
      <c r="M178" s="27"/>
      <c r="N178" s="2">
        <v>1</v>
      </c>
      <c r="O178" s="27">
        <f t="shared" si="4"/>
        <v>0</v>
      </c>
      <c r="P178" s="27"/>
      <c r="Q178" s="27"/>
      <c r="R178" s="20"/>
    </row>
    <row r="179" spans="1:44" ht="16.899999999999999" customHeight="1">
      <c r="A179" s="24">
        <v>93</v>
      </c>
      <c r="B179" s="23" t="s">
        <v>309</v>
      </c>
      <c r="C179" s="24" t="s">
        <v>18</v>
      </c>
      <c r="D179" s="23"/>
      <c r="E179" s="23" t="s">
        <v>19</v>
      </c>
      <c r="F179" s="23" t="s">
        <v>310</v>
      </c>
      <c r="G179" s="23" t="s">
        <v>122</v>
      </c>
      <c r="H179" s="25">
        <v>1</v>
      </c>
      <c r="I179" s="2"/>
      <c r="J179" s="26"/>
      <c r="K179" s="27">
        <f t="shared" si="6"/>
        <v>0</v>
      </c>
      <c r="L179" s="27"/>
      <c r="M179" s="27"/>
      <c r="N179" s="2"/>
      <c r="O179" s="27">
        <f t="shared" si="4"/>
        <v>0</v>
      </c>
      <c r="P179" s="27"/>
      <c r="Q179" s="27"/>
      <c r="R179" s="20"/>
    </row>
    <row r="180" spans="1:44" ht="16.899999999999999" customHeight="1">
      <c r="A180" s="24"/>
      <c r="B180" s="23" t="s">
        <v>309</v>
      </c>
      <c r="C180" s="24" t="s">
        <v>18</v>
      </c>
      <c r="D180" s="23"/>
      <c r="E180" s="23"/>
      <c r="F180" s="23" t="s">
        <v>324</v>
      </c>
      <c r="G180" s="23" t="s">
        <v>124</v>
      </c>
      <c r="H180" s="25">
        <v>0</v>
      </c>
      <c r="I180" s="2"/>
      <c r="J180" s="26"/>
      <c r="K180" s="27">
        <f t="shared" si="6"/>
        <v>0</v>
      </c>
      <c r="L180" s="27"/>
      <c r="M180" s="27"/>
      <c r="N180" s="2"/>
      <c r="O180" s="27">
        <f t="shared" si="4"/>
        <v>0</v>
      </c>
      <c r="P180" s="27"/>
      <c r="Q180" s="27"/>
      <c r="R180" s="20"/>
    </row>
    <row r="181" spans="1:44" ht="24.6" customHeight="1">
      <c r="A181" s="29">
        <v>94</v>
      </c>
      <c r="B181" s="30" t="s">
        <v>115</v>
      </c>
      <c r="C181" s="29" t="s">
        <v>52</v>
      </c>
      <c r="D181" s="30" t="s">
        <v>110</v>
      </c>
      <c r="E181" s="30" t="s">
        <v>19</v>
      </c>
      <c r="F181" s="30"/>
      <c r="G181" s="30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/>
      <c r="O181" s="27">
        <f t="shared" ref="O181:O185" si="7">P181+Q181</f>
        <v>0</v>
      </c>
      <c r="P181" s="27"/>
      <c r="Q181" s="27"/>
      <c r="R181" s="20"/>
    </row>
    <row r="182" spans="1:44" ht="32.25" customHeight="1">
      <c r="A182" s="29"/>
      <c r="B182" s="30" t="s">
        <v>115</v>
      </c>
      <c r="C182" s="29" t="s">
        <v>52</v>
      </c>
      <c r="D182" s="30" t="s">
        <v>110</v>
      </c>
      <c r="E182" s="30" t="s">
        <v>19</v>
      </c>
      <c r="F182" s="30" t="s">
        <v>292</v>
      </c>
      <c r="G182" s="30" t="s">
        <v>122</v>
      </c>
      <c r="H182" s="25">
        <v>0</v>
      </c>
      <c r="I182" s="1"/>
      <c r="J182" s="44"/>
      <c r="K182" s="27">
        <f t="shared" si="6"/>
        <v>0</v>
      </c>
      <c r="L182" s="27"/>
      <c r="M182" s="27"/>
      <c r="N182" s="1"/>
      <c r="O182" s="27">
        <f t="shared" si="7"/>
        <v>0</v>
      </c>
      <c r="P182" s="27"/>
      <c r="Q182" s="27"/>
      <c r="R182" s="20"/>
    </row>
    <row r="183" spans="1:44" ht="34.9" customHeight="1">
      <c r="A183" s="29">
        <v>95</v>
      </c>
      <c r="B183" s="30" t="s">
        <v>116</v>
      </c>
      <c r="C183" s="29" t="s">
        <v>52</v>
      </c>
      <c r="D183" s="30" t="s">
        <v>117</v>
      </c>
      <c r="E183" s="30" t="s">
        <v>19</v>
      </c>
      <c r="F183" s="30" t="s">
        <v>299</v>
      </c>
      <c r="G183" s="30" t="s">
        <v>142</v>
      </c>
      <c r="H183" s="25">
        <v>10</v>
      </c>
      <c r="I183" s="1">
        <v>5</v>
      </c>
      <c r="J183" s="44">
        <v>5</v>
      </c>
      <c r="K183" s="27">
        <f t="shared" si="6"/>
        <v>0</v>
      </c>
      <c r="L183" s="27"/>
      <c r="M183" s="27"/>
      <c r="N183" s="1"/>
      <c r="O183" s="27">
        <f t="shared" si="7"/>
        <v>0</v>
      </c>
      <c r="P183" s="27"/>
      <c r="Q183" s="27"/>
      <c r="R183" s="20"/>
    </row>
    <row r="184" spans="1:44" ht="28.5" customHeight="1">
      <c r="A184" s="29">
        <v>96</v>
      </c>
      <c r="B184" s="30" t="s">
        <v>209</v>
      </c>
      <c r="C184" s="29" t="s">
        <v>18</v>
      </c>
      <c r="D184" s="30"/>
      <c r="E184" s="30" t="s">
        <v>19</v>
      </c>
      <c r="F184" s="30" t="s">
        <v>123</v>
      </c>
      <c r="G184" s="30" t="s">
        <v>142</v>
      </c>
      <c r="H184" s="25">
        <v>0</v>
      </c>
      <c r="I184" s="1"/>
      <c r="J184" s="44"/>
      <c r="K184" s="27">
        <f t="shared" si="6"/>
        <v>0</v>
      </c>
      <c r="L184" s="27"/>
      <c r="M184" s="27"/>
      <c r="N184" s="1"/>
      <c r="O184" s="27">
        <f t="shared" si="7"/>
        <v>0</v>
      </c>
      <c r="P184" s="27"/>
      <c r="Q184" s="27"/>
      <c r="R184" s="20"/>
    </row>
    <row r="185" spans="1:44" ht="19.5" customHeight="1">
      <c r="A185" s="29">
        <v>97</v>
      </c>
      <c r="B185" s="30" t="s">
        <v>118</v>
      </c>
      <c r="C185" s="29" t="s">
        <v>18</v>
      </c>
      <c r="D185" s="30"/>
      <c r="E185" s="30" t="s">
        <v>41</v>
      </c>
      <c r="F185" s="30" t="s">
        <v>292</v>
      </c>
      <c r="G185" s="30" t="s">
        <v>142</v>
      </c>
      <c r="H185" s="25">
        <v>7</v>
      </c>
      <c r="I185" s="1">
        <v>1</v>
      </c>
      <c r="J185" s="44">
        <v>1</v>
      </c>
      <c r="K185" s="27">
        <f t="shared" si="6"/>
        <v>0</v>
      </c>
      <c r="L185" s="27"/>
      <c r="M185" s="27"/>
      <c r="N185" s="1">
        <v>15</v>
      </c>
      <c r="O185" s="27">
        <f t="shared" si="7"/>
        <v>0</v>
      </c>
      <c r="P185" s="27"/>
      <c r="Q185" s="27"/>
      <c r="R185" s="20"/>
    </row>
    <row r="186" spans="1:44" s="7" customFormat="1" ht="30.6" customHeight="1">
      <c r="A186" s="24"/>
      <c r="B186" s="23" t="s">
        <v>118</v>
      </c>
      <c r="C186" s="24" t="s">
        <v>18</v>
      </c>
      <c r="D186" s="23"/>
      <c r="E186" s="23" t="s">
        <v>41</v>
      </c>
      <c r="F186" s="23" t="s">
        <v>298</v>
      </c>
      <c r="G186" s="23" t="s">
        <v>124</v>
      </c>
      <c r="H186" s="25">
        <v>0</v>
      </c>
      <c r="I186" s="1"/>
      <c r="J186" s="44"/>
      <c r="K186" s="27">
        <f t="shared" si="6"/>
        <v>0</v>
      </c>
      <c r="L186" s="27"/>
      <c r="M186" s="27"/>
      <c r="N186" s="1"/>
      <c r="O186" s="27">
        <f>P186+Q186</f>
        <v>0</v>
      </c>
      <c r="P186" s="27"/>
      <c r="Q186" s="27"/>
      <c r="R186" s="20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</row>
    <row r="187" spans="1:44" s="14" customFormat="1" ht="27" customHeight="1">
      <c r="A187" s="24"/>
      <c r="B187" s="23" t="s">
        <v>118</v>
      </c>
      <c r="C187" s="24" t="s">
        <v>18</v>
      </c>
      <c r="D187" s="23"/>
      <c r="E187" s="23" t="s">
        <v>41</v>
      </c>
      <c r="F187" s="23" t="s">
        <v>123</v>
      </c>
      <c r="G187" s="23" t="s">
        <v>136</v>
      </c>
      <c r="H187" s="25">
        <v>0</v>
      </c>
      <c r="I187" s="2"/>
      <c r="J187" s="26"/>
      <c r="K187" s="27">
        <f t="shared" si="6"/>
        <v>0</v>
      </c>
      <c r="L187" s="27"/>
      <c r="M187" s="27"/>
      <c r="N187" s="2"/>
      <c r="O187" s="27">
        <f>P187+Q187</f>
        <v>0</v>
      </c>
      <c r="P187" s="27"/>
      <c r="Q187" s="27"/>
      <c r="R187" s="20"/>
      <c r="AM187" s="4"/>
      <c r="AN187" s="4"/>
      <c r="AO187" s="4"/>
      <c r="AP187" s="4"/>
      <c r="AQ187" s="4"/>
      <c r="AR187" s="4"/>
    </row>
    <row r="188" spans="1:44" s="14" customFormat="1" ht="27" customHeight="1">
      <c r="A188" s="46"/>
      <c r="B188" s="60" t="s">
        <v>119</v>
      </c>
      <c r="C188" s="46" t="s">
        <v>18</v>
      </c>
      <c r="D188" s="60"/>
      <c r="E188" s="60" t="s">
        <v>19</v>
      </c>
      <c r="F188" s="60" t="s">
        <v>120</v>
      </c>
      <c r="G188" s="60" t="s">
        <v>122</v>
      </c>
      <c r="H188" s="61">
        <v>0</v>
      </c>
      <c r="I188" s="32"/>
      <c r="J188" s="62"/>
      <c r="K188" s="27">
        <f t="shared" si="6"/>
        <v>0</v>
      </c>
      <c r="L188" s="63"/>
      <c r="M188" s="63"/>
      <c r="N188" s="32"/>
      <c r="O188" s="63">
        <v>0</v>
      </c>
      <c r="P188" s="63"/>
      <c r="Q188" s="63"/>
      <c r="R188" s="20"/>
      <c r="AM188" s="4"/>
      <c r="AN188" s="4"/>
      <c r="AO188" s="4"/>
      <c r="AP188" s="4"/>
      <c r="AQ188" s="4"/>
      <c r="AR188" s="4"/>
    </row>
    <row r="189" spans="1:44" s="14" customFormat="1" ht="18.75" customHeight="1" thickBot="1">
      <c r="A189" s="47">
        <v>98</v>
      </c>
      <c r="B189" s="99" t="s">
        <v>325</v>
      </c>
      <c r="C189" s="47" t="s">
        <v>18</v>
      </c>
      <c r="D189" s="99"/>
      <c r="E189" s="99" t="s">
        <v>36</v>
      </c>
      <c r="F189" s="99" t="s">
        <v>326</v>
      </c>
      <c r="G189" s="99" t="s">
        <v>124</v>
      </c>
      <c r="H189" s="100">
        <v>1</v>
      </c>
      <c r="I189" s="16"/>
      <c r="J189" s="101"/>
      <c r="K189" s="27">
        <f t="shared" si="6"/>
        <v>0</v>
      </c>
      <c r="L189" s="102"/>
      <c r="M189" s="102"/>
      <c r="N189" s="16"/>
      <c r="O189" s="102">
        <f>P189+Q189</f>
        <v>0</v>
      </c>
      <c r="P189" s="102"/>
      <c r="Q189" s="102"/>
      <c r="R189" s="20"/>
      <c r="AM189" s="4"/>
      <c r="AN189" s="4"/>
      <c r="AO189" s="4"/>
      <c r="AP189" s="4"/>
      <c r="AQ189" s="4"/>
      <c r="AR189" s="4"/>
    </row>
    <row r="190" spans="1:44" s="14" customFormat="1" ht="16.5" customHeight="1">
      <c r="A190" s="87" t="s">
        <v>145</v>
      </c>
      <c r="B190" s="87"/>
      <c r="C190" s="88"/>
      <c r="D190" s="89"/>
      <c r="E190" s="89"/>
      <c r="F190" s="89"/>
      <c r="G190" s="89"/>
      <c r="H190" s="88">
        <f>SUM(H10:H189)</f>
        <v>509</v>
      </c>
      <c r="I190" s="88">
        <f>SUM(I10:I189)</f>
        <v>104</v>
      </c>
      <c r="J190" s="88">
        <f>SUM(J10:J189)</f>
        <v>104</v>
      </c>
      <c r="K190" s="90">
        <f>SUM(K10:K189)</f>
        <v>0</v>
      </c>
      <c r="L190" s="90">
        <f t="shared" ref="L190:Q190" si="8">SUM(L10:L189)</f>
        <v>0</v>
      </c>
      <c r="M190" s="88">
        <f t="shared" si="8"/>
        <v>0</v>
      </c>
      <c r="N190" s="88">
        <f t="shared" si="8"/>
        <v>361</v>
      </c>
      <c r="O190" s="90">
        <f>SUM(O10:O189)</f>
        <v>7723.81</v>
      </c>
      <c r="P190" s="88">
        <f t="shared" si="8"/>
        <v>7723.81</v>
      </c>
      <c r="Q190" s="88">
        <f t="shared" si="8"/>
        <v>0</v>
      </c>
      <c r="R190" s="20"/>
      <c r="AM190" s="4"/>
      <c r="AN190" s="4"/>
      <c r="AO190" s="4"/>
      <c r="AP190" s="4"/>
      <c r="AQ190" s="4"/>
      <c r="AR190" s="4"/>
    </row>
    <row r="191" spans="1:44" s="14" customFormat="1" ht="15" customHeight="1">
      <c r="A191" s="5"/>
      <c r="B191" s="6"/>
      <c r="C191" s="5"/>
      <c r="D191" s="6"/>
      <c r="E191" s="6"/>
      <c r="F191" s="6"/>
      <c r="G191" s="6"/>
      <c r="H191" s="9"/>
      <c r="I191" s="9"/>
      <c r="J191" s="9"/>
      <c r="K191" s="9"/>
      <c r="L191" s="9"/>
      <c r="M191" s="11"/>
      <c r="N191" s="9"/>
      <c r="O191" s="9"/>
      <c r="P191" s="5"/>
      <c r="Q191" s="13"/>
      <c r="R191" s="20"/>
      <c r="AM191" s="4"/>
      <c r="AN191" s="4"/>
      <c r="AO191" s="4"/>
      <c r="AP191" s="4"/>
      <c r="AQ191" s="4"/>
      <c r="AR191" s="4"/>
    </row>
    <row r="192" spans="1:44" s="14" customForma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12"/>
      <c r="N192" s="4"/>
      <c r="O192" s="4"/>
      <c r="P192" s="4"/>
      <c r="Q192" s="12"/>
      <c r="R192" s="20"/>
      <c r="AM192" s="4"/>
      <c r="AN192" s="4"/>
      <c r="AO192" s="4"/>
      <c r="AP192" s="4"/>
      <c r="AQ192" s="4"/>
      <c r="AR192" s="4"/>
    </row>
    <row r="193" spans="1:44" s="14" customForma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15"/>
      <c r="L193" s="15"/>
      <c r="M193" s="19"/>
      <c r="N193" s="4"/>
      <c r="O193" s="4"/>
      <c r="P193" s="4"/>
      <c r="Q193" s="12"/>
      <c r="AM193" s="4"/>
      <c r="AN193" s="4"/>
      <c r="AO193" s="4"/>
      <c r="AP193" s="4"/>
      <c r="AQ193" s="4"/>
      <c r="AR193" s="4"/>
    </row>
    <row r="194" spans="1:44" s="14" customForma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15"/>
      <c r="L194" s="15"/>
      <c r="M194" s="12"/>
      <c r="N194" s="15"/>
      <c r="O194" s="15"/>
      <c r="P194" s="4"/>
      <c r="Q194" s="12"/>
      <c r="AM194" s="4"/>
      <c r="AN194" s="4"/>
      <c r="AO194" s="4"/>
      <c r="AP194" s="4"/>
      <c r="AQ194" s="4"/>
      <c r="AR194" s="4"/>
    </row>
    <row r="195" spans="1:44" s="14" customForma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15"/>
      <c r="L195" s="15"/>
      <c r="M195" s="12"/>
      <c r="N195" s="15"/>
      <c r="O195" s="4"/>
      <c r="P195" s="4"/>
      <c r="Q195" s="12"/>
      <c r="AM195" s="4"/>
      <c r="AN195" s="4"/>
      <c r="AO195" s="4"/>
      <c r="AP195" s="4"/>
      <c r="AQ195" s="4"/>
      <c r="AR195" s="4"/>
    </row>
    <row r="196" spans="1:44" s="14" customForma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15"/>
      <c r="L196" s="15"/>
      <c r="M196" s="12"/>
      <c r="N196" s="4"/>
      <c r="O196" s="4"/>
      <c r="P196" s="4"/>
      <c r="Q196" s="12"/>
      <c r="AM196" s="4"/>
      <c r="AN196" s="4"/>
      <c r="AO196" s="4"/>
      <c r="AP196" s="4"/>
      <c r="AQ196" s="4"/>
      <c r="AR196" s="4"/>
    </row>
    <row r="197" spans="1:44" s="14" customForma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15"/>
      <c r="L197" s="15"/>
      <c r="M197" s="12"/>
      <c r="N197" s="4"/>
      <c r="O197" s="4"/>
      <c r="P197" s="4"/>
      <c r="Q197" s="12"/>
      <c r="AM197" s="4"/>
      <c r="AN197" s="4"/>
      <c r="AO197" s="4"/>
      <c r="AP197" s="4"/>
      <c r="AQ197" s="4"/>
      <c r="AR197" s="4"/>
    </row>
    <row r="198" spans="1:44" s="14" customForma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15"/>
      <c r="M198" s="12"/>
      <c r="N198" s="4"/>
      <c r="O198" s="4"/>
      <c r="P198" s="4"/>
      <c r="Q198" s="12"/>
      <c r="AM198" s="4"/>
      <c r="AN198" s="4"/>
      <c r="AO198" s="4"/>
      <c r="AP198" s="4"/>
      <c r="AQ198" s="4"/>
      <c r="AR198" s="4"/>
    </row>
    <row r="205" spans="1:44" s="12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15"/>
      <c r="N205" s="4"/>
      <c r="O205" s="4"/>
      <c r="P205" s="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4"/>
      <c r="AN205" s="4"/>
      <c r="AO205" s="4"/>
      <c r="AP205" s="4"/>
      <c r="AQ205" s="4"/>
      <c r="AR205" s="4"/>
    </row>
  </sheetData>
  <mergeCells count="8">
    <mergeCell ref="A190:B190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R210"/>
  <sheetViews>
    <sheetView topLeftCell="A182" zoomScale="90" zoomScaleNormal="90" workbookViewId="0">
      <selection activeCell="H198" sqref="A1:XFD1048576"/>
    </sheetView>
  </sheetViews>
  <sheetFormatPr defaultColWidth="9" defaultRowHeight="15"/>
  <cols>
    <col min="1" max="1" width="4" style="28" customWidth="1"/>
    <col min="2" max="2" width="31.85546875" style="28" customWidth="1"/>
    <col min="3" max="3" width="13.7109375" style="28" customWidth="1"/>
    <col min="4" max="4" width="18" style="28" customWidth="1"/>
    <col min="5" max="5" width="16.28515625" style="28" customWidth="1"/>
    <col min="6" max="6" width="23.7109375" style="28" customWidth="1"/>
    <col min="7" max="7" width="27.7109375" style="28" customWidth="1"/>
    <col min="8" max="8" width="18" style="28" customWidth="1"/>
    <col min="9" max="9" width="13.85546875" style="28" customWidth="1"/>
    <col min="10" max="11" width="12.85546875" style="28" customWidth="1"/>
    <col min="12" max="12" width="11.7109375" style="28" customWidth="1"/>
    <col min="13" max="13" width="12.140625" style="28" customWidth="1"/>
    <col min="14" max="14" width="11.28515625" style="28" customWidth="1"/>
    <col min="15" max="15" width="11.85546875" style="28" customWidth="1"/>
    <col min="16" max="16" width="11" style="28" customWidth="1"/>
    <col min="17" max="17" width="11.28515625" style="28" customWidth="1"/>
    <col min="18" max="18" width="14.28515625" style="28" customWidth="1"/>
    <col min="19" max="16384" width="9" style="28"/>
  </cols>
  <sheetData>
    <row r="1" spans="1:18" ht="101.25" hidden="1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 t="s">
        <v>16</v>
      </c>
      <c r="P1" s="93"/>
      <c r="Q1" s="93"/>
    </row>
    <row r="2" spans="1:18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 ht="15" customHeight="1">
      <c r="A3" s="94" t="s">
        <v>289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8">
      <c r="A4" s="95" t="s">
        <v>15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8" ht="13.9" customHeight="1">
      <c r="A5" s="96" t="s">
        <v>14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8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</row>
    <row r="7" spans="1:18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18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18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18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8" si="1">P10+Q10</f>
        <v>0</v>
      </c>
      <c r="P10" s="76"/>
      <c r="Q10" s="75"/>
      <c r="R10" s="31"/>
    </row>
    <row r="11" spans="1:18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6</v>
      </c>
      <c r="I11" s="1"/>
      <c r="J11" s="26"/>
      <c r="K11" s="27">
        <f t="shared" ref="K11:K81" si="2">L11+M11</f>
        <v>0</v>
      </c>
      <c r="L11" s="27"/>
      <c r="M11" s="27"/>
      <c r="N11" s="1">
        <v>7</v>
      </c>
      <c r="O11" s="27">
        <f t="shared" si="1"/>
        <v>0</v>
      </c>
      <c r="P11" s="27"/>
      <c r="Q11" s="27"/>
      <c r="R11" s="31"/>
    </row>
    <row r="12" spans="1:18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6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0</v>
      </c>
      <c r="P12" s="27"/>
      <c r="Q12" s="27"/>
      <c r="R12" s="31"/>
    </row>
    <row r="13" spans="1:18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31"/>
    </row>
    <row r="14" spans="1:18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5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0</v>
      </c>
      <c r="P14" s="27"/>
      <c r="Q14" s="27"/>
      <c r="R14" s="31"/>
    </row>
    <row r="15" spans="1:18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8</v>
      </c>
      <c r="I15" s="2">
        <v>1</v>
      </c>
      <c r="J15" s="26">
        <v>1</v>
      </c>
      <c r="K15" s="27">
        <f t="shared" si="2"/>
        <v>0</v>
      </c>
      <c r="L15" s="27"/>
      <c r="M15" s="27"/>
      <c r="N15" s="2">
        <v>9</v>
      </c>
      <c r="O15" s="27">
        <f t="shared" si="1"/>
        <v>757.8</v>
      </c>
      <c r="P15" s="27">
        <v>757.8</v>
      </c>
      <c r="Q15" s="27"/>
      <c r="R15" s="31"/>
    </row>
    <row r="16" spans="1:18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13</v>
      </c>
      <c r="I16" s="1">
        <v>6</v>
      </c>
      <c r="J16" s="26">
        <v>7</v>
      </c>
      <c r="K16" s="27">
        <f t="shared" si="2"/>
        <v>0</v>
      </c>
      <c r="L16" s="27"/>
      <c r="M16" s="27"/>
      <c r="N16" s="1">
        <v>10</v>
      </c>
      <c r="O16" s="27">
        <f t="shared" si="1"/>
        <v>0</v>
      </c>
      <c r="P16" s="27"/>
      <c r="Q16" s="27"/>
      <c r="R16" s="31"/>
    </row>
    <row r="17" spans="1:1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31"/>
    </row>
    <row r="18" spans="1:18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31"/>
    </row>
    <row r="19" spans="1:1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31"/>
    </row>
    <row r="20" spans="1:18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13</v>
      </c>
      <c r="I20" s="1">
        <v>4</v>
      </c>
      <c r="J20" s="26">
        <v>4</v>
      </c>
      <c r="K20" s="27">
        <f t="shared" si="2"/>
        <v>0</v>
      </c>
      <c r="L20" s="27"/>
      <c r="M20" s="27"/>
      <c r="N20" s="1">
        <v>12</v>
      </c>
      <c r="O20" s="27">
        <f t="shared" si="1"/>
        <v>0</v>
      </c>
      <c r="P20" s="27"/>
      <c r="Q20" s="27"/>
      <c r="R20" s="31"/>
    </row>
    <row r="21" spans="1:1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31"/>
    </row>
    <row r="22" spans="1:1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8</v>
      </c>
      <c r="O22" s="27">
        <f t="shared" si="1"/>
        <v>0</v>
      </c>
      <c r="P22" s="27"/>
      <c r="Q22" s="27"/>
      <c r="R22" s="31"/>
    </row>
    <row r="23" spans="1:1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31"/>
    </row>
    <row r="24" spans="1:1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31"/>
    </row>
    <row r="25" spans="1:1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31"/>
    </row>
    <row r="26" spans="1:1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4</v>
      </c>
      <c r="I26" s="1"/>
      <c r="J26" s="44"/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31"/>
    </row>
    <row r="27" spans="1:1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8</v>
      </c>
      <c r="I27" s="1"/>
      <c r="J27" s="44"/>
      <c r="K27" s="27">
        <f t="shared" si="2"/>
        <v>0</v>
      </c>
      <c r="L27" s="27"/>
      <c r="M27" s="27"/>
      <c r="N27" s="1">
        <v>2</v>
      </c>
      <c r="O27" s="27">
        <f t="shared" si="1"/>
        <v>0</v>
      </c>
      <c r="P27" s="27"/>
      <c r="Q27" s="27"/>
      <c r="R27" s="31"/>
    </row>
    <row r="28" spans="1:1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1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31"/>
    </row>
    <row r="29" spans="1:18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8</v>
      </c>
      <c r="I29" s="1"/>
      <c r="J29" s="26"/>
      <c r="K29" s="27">
        <f t="shared" si="2"/>
        <v>0</v>
      </c>
      <c r="L29" s="27"/>
      <c r="M29" s="27"/>
      <c r="N29" s="1">
        <v>2</v>
      </c>
      <c r="O29" s="27">
        <f t="shared" si="1"/>
        <v>0</v>
      </c>
      <c r="P29" s="27"/>
      <c r="Q29" s="27"/>
      <c r="R29" s="31"/>
    </row>
    <row r="30" spans="1:18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31"/>
    </row>
    <row r="31" spans="1:1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6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31"/>
    </row>
    <row r="32" spans="1:18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9</v>
      </c>
      <c r="I32" s="1">
        <v>5</v>
      </c>
      <c r="J32" s="26">
        <v>5</v>
      </c>
      <c r="K32" s="27">
        <f t="shared" si="2"/>
        <v>0</v>
      </c>
      <c r="L32" s="27"/>
      <c r="M32" s="27"/>
      <c r="N32" s="1">
        <v>5</v>
      </c>
      <c r="O32" s="27">
        <f t="shared" si="1"/>
        <v>0</v>
      </c>
      <c r="P32" s="27"/>
      <c r="Q32" s="27"/>
      <c r="R32" s="31"/>
    </row>
    <row r="33" spans="1:1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292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1</v>
      </c>
      <c r="O33" s="27">
        <f t="shared" si="1"/>
        <v>0</v>
      </c>
      <c r="P33" s="27"/>
      <c r="Q33" s="27"/>
      <c r="R33" s="31"/>
    </row>
    <row r="34" spans="1:1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0</v>
      </c>
      <c r="P34" s="27"/>
      <c r="Q34" s="27"/>
      <c r="R34" s="31"/>
    </row>
    <row r="35" spans="1:1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3</v>
      </c>
      <c r="I35" s="1"/>
      <c r="J35" s="26"/>
      <c r="K35" s="27">
        <f t="shared" si="2"/>
        <v>0</v>
      </c>
      <c r="L35" s="27"/>
      <c r="M35" s="27"/>
      <c r="N35" s="1">
        <v>3</v>
      </c>
      <c r="O35" s="27">
        <f t="shared" si="1"/>
        <v>0</v>
      </c>
      <c r="P35" s="27"/>
      <c r="Q35" s="27"/>
      <c r="R35" s="31"/>
    </row>
    <row r="36" spans="1:18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31"/>
    </row>
    <row r="37" spans="1:1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3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31"/>
    </row>
    <row r="38" spans="1:1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6</v>
      </c>
      <c r="I38" s="1"/>
      <c r="J38" s="26"/>
      <c r="K38" s="27">
        <f t="shared" si="2"/>
        <v>0</v>
      </c>
      <c r="L38" s="27"/>
      <c r="M38" s="27"/>
      <c r="N38" s="1">
        <v>6</v>
      </c>
      <c r="O38" s="27">
        <f t="shared" si="1"/>
        <v>0</v>
      </c>
      <c r="P38" s="27"/>
      <c r="Q38" s="27"/>
      <c r="R38" s="31"/>
    </row>
    <row r="39" spans="1:1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9</v>
      </c>
      <c r="I39" s="2"/>
      <c r="J39" s="26"/>
      <c r="K39" s="27">
        <f t="shared" si="2"/>
        <v>0</v>
      </c>
      <c r="L39" s="27"/>
      <c r="M39" s="27"/>
      <c r="N39" s="2">
        <v>2</v>
      </c>
      <c r="O39" s="27">
        <f t="shared" si="1"/>
        <v>0</v>
      </c>
      <c r="P39" s="27"/>
      <c r="Q39" s="27"/>
      <c r="R39" s="31"/>
    </row>
    <row r="40" spans="1:1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2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31"/>
    </row>
    <row r="41" spans="1:1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0</v>
      </c>
      <c r="P41" s="27"/>
      <c r="Q41" s="27"/>
      <c r="R41" s="31"/>
    </row>
    <row r="42" spans="1:18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4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0</v>
      </c>
      <c r="P42" s="27"/>
      <c r="Q42" s="27"/>
      <c r="R42" s="31"/>
    </row>
    <row r="43" spans="1:1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1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31"/>
    </row>
    <row r="44" spans="1:1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2</v>
      </c>
      <c r="O44" s="27">
        <f t="shared" si="1"/>
        <v>0</v>
      </c>
      <c r="P44" s="27"/>
      <c r="Q44" s="27"/>
      <c r="R44" s="31"/>
    </row>
    <row r="45" spans="1:1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>
        <v>2</v>
      </c>
      <c r="O45" s="27">
        <f t="shared" si="1"/>
        <v>0</v>
      </c>
      <c r="P45" s="27"/>
      <c r="Q45" s="27"/>
      <c r="R45" s="31"/>
    </row>
    <row r="46" spans="1:1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/>
      <c r="O46" s="27">
        <f t="shared" si="1"/>
        <v>0</v>
      </c>
      <c r="P46" s="27"/>
      <c r="Q46" s="27"/>
      <c r="R46" s="31"/>
    </row>
    <row r="47" spans="1:1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31"/>
    </row>
    <row r="48" spans="1:1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268</v>
      </c>
      <c r="G48" s="23" t="s">
        <v>142</v>
      </c>
      <c r="H48" s="25">
        <v>2</v>
      </c>
      <c r="I48" s="1"/>
      <c r="J48" s="26"/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31"/>
    </row>
    <row r="49" spans="1:18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1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1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295</v>
      </c>
      <c r="G50" s="23" t="s">
        <v>142</v>
      </c>
      <c r="H50" s="25">
        <v>7</v>
      </c>
      <c r="I50" s="1">
        <v>5</v>
      </c>
      <c r="J50" s="26">
        <v>5</v>
      </c>
      <c r="K50" s="27">
        <f t="shared" si="2"/>
        <v>0</v>
      </c>
      <c r="L50" s="27"/>
      <c r="M50" s="27"/>
      <c r="N50" s="1">
        <v>4</v>
      </c>
      <c r="O50" s="27">
        <f t="shared" si="1"/>
        <v>0</v>
      </c>
      <c r="P50" s="27"/>
      <c r="Q50" s="27"/>
      <c r="R50" s="31"/>
    </row>
    <row r="51" spans="1:1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31"/>
    </row>
    <row r="52" spans="1:1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31"/>
    </row>
    <row r="53" spans="1:18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292</v>
      </c>
      <c r="G53" s="23" t="s">
        <v>142</v>
      </c>
      <c r="H53" s="25">
        <v>4</v>
      </c>
      <c r="I53" s="1"/>
      <c r="J53" s="26"/>
      <c r="K53" s="27">
        <f t="shared" si="2"/>
        <v>0</v>
      </c>
      <c r="L53" s="27"/>
      <c r="M53" s="27"/>
      <c r="N53" s="1">
        <v>1</v>
      </c>
      <c r="O53" s="27">
        <f t="shared" si="1"/>
        <v>0</v>
      </c>
      <c r="P53" s="27"/>
      <c r="Q53" s="27"/>
      <c r="R53" s="31"/>
    </row>
    <row r="54" spans="1:1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3</v>
      </c>
      <c r="I54" s="2"/>
      <c r="J54" s="26"/>
      <c r="K54" s="27">
        <f t="shared" si="2"/>
        <v>0</v>
      </c>
      <c r="L54" s="27"/>
      <c r="M54" s="27"/>
      <c r="N54" s="2"/>
      <c r="O54" s="27">
        <f t="shared" si="1"/>
        <v>0</v>
      </c>
      <c r="P54" s="27"/>
      <c r="Q54" s="27"/>
      <c r="R54" s="31"/>
    </row>
    <row r="55" spans="1:18" ht="15" customHeight="1">
      <c r="A55" s="24">
        <v>24</v>
      </c>
      <c r="B55" s="23" t="s">
        <v>320</v>
      </c>
      <c r="C55" s="24" t="s">
        <v>18</v>
      </c>
      <c r="D55" s="23"/>
      <c r="E55" s="23" t="s">
        <v>36</v>
      </c>
      <c r="F55" s="23" t="s">
        <v>321</v>
      </c>
      <c r="G55" s="23" t="s">
        <v>124</v>
      </c>
      <c r="H55" s="25">
        <v>0</v>
      </c>
      <c r="I55" s="2"/>
      <c r="J55" s="26"/>
      <c r="K55" s="27">
        <f t="shared" si="2"/>
        <v>0</v>
      </c>
      <c r="L55" s="27"/>
      <c r="M55" s="27"/>
      <c r="N55" s="2"/>
      <c r="O55" s="27">
        <f t="shared" si="1"/>
        <v>0</v>
      </c>
      <c r="P55" s="27"/>
      <c r="Q55" s="27"/>
      <c r="R55" s="31"/>
    </row>
    <row r="56" spans="1:18" s="97" customFormat="1">
      <c r="A56" s="78">
        <v>25</v>
      </c>
      <c r="B56" s="79" t="s">
        <v>147</v>
      </c>
      <c r="C56" s="80" t="s">
        <v>18</v>
      </c>
      <c r="D56" s="79"/>
      <c r="E56" s="79" t="s">
        <v>50</v>
      </c>
      <c r="F56" s="79"/>
      <c r="G56" s="79" t="s">
        <v>142</v>
      </c>
      <c r="H56" s="81">
        <v>0</v>
      </c>
      <c r="I56" s="82"/>
      <c r="J56" s="26"/>
      <c r="K56" s="27">
        <f t="shared" si="2"/>
        <v>0</v>
      </c>
      <c r="L56" s="83"/>
      <c r="M56" s="83"/>
      <c r="N56" s="26"/>
      <c r="O56" s="27">
        <f t="shared" si="1"/>
        <v>0</v>
      </c>
      <c r="P56" s="78"/>
      <c r="Q56" s="84"/>
      <c r="R56" s="31"/>
    </row>
    <row r="57" spans="1:18" s="97" customFormat="1">
      <c r="A57" s="78">
        <v>26</v>
      </c>
      <c r="B57" s="79" t="s">
        <v>332</v>
      </c>
      <c r="C57" s="80" t="s">
        <v>18</v>
      </c>
      <c r="D57" s="79"/>
      <c r="E57" s="79" t="s">
        <v>300</v>
      </c>
      <c r="F57" s="79" t="s">
        <v>268</v>
      </c>
      <c r="G57" s="79" t="s">
        <v>142</v>
      </c>
      <c r="H57" s="81">
        <v>5</v>
      </c>
      <c r="I57" s="82"/>
      <c r="J57" s="26"/>
      <c r="K57" s="27"/>
      <c r="L57" s="83"/>
      <c r="M57" s="83"/>
      <c r="N57" s="26"/>
      <c r="O57" s="27"/>
      <c r="P57" s="78"/>
      <c r="Q57" s="84"/>
      <c r="R57" s="31"/>
    </row>
    <row r="58" spans="1:18" ht="24.75" customHeight="1">
      <c r="A58" s="29">
        <v>27</v>
      </c>
      <c r="B58" s="30" t="s">
        <v>51</v>
      </c>
      <c r="C58" s="29" t="s">
        <v>52</v>
      </c>
      <c r="D58" s="30" t="s">
        <v>53</v>
      </c>
      <c r="E58" s="30" t="s">
        <v>19</v>
      </c>
      <c r="F58" s="30" t="s">
        <v>292</v>
      </c>
      <c r="G58" s="30" t="s">
        <v>142</v>
      </c>
      <c r="H58" s="25">
        <v>12</v>
      </c>
      <c r="I58" s="1">
        <v>3</v>
      </c>
      <c r="J58" s="26">
        <v>3</v>
      </c>
      <c r="K58" s="27">
        <f t="shared" si="2"/>
        <v>0</v>
      </c>
      <c r="L58" s="27"/>
      <c r="M58" s="27"/>
      <c r="N58" s="1">
        <v>13</v>
      </c>
      <c r="O58" s="27">
        <f t="shared" si="1"/>
        <v>0</v>
      </c>
      <c r="P58" s="27"/>
      <c r="Q58" s="27"/>
      <c r="R58" s="31"/>
    </row>
    <row r="59" spans="1:18" ht="15" customHeight="1">
      <c r="A59" s="24">
        <v>28</v>
      </c>
      <c r="B59" s="23" t="s">
        <v>54</v>
      </c>
      <c r="C59" s="24" t="s">
        <v>18</v>
      </c>
      <c r="D59" s="23"/>
      <c r="E59" s="23" t="s">
        <v>19</v>
      </c>
      <c r="F59" s="23" t="s">
        <v>120</v>
      </c>
      <c r="G59" s="23" t="s">
        <v>142</v>
      </c>
      <c r="H59" s="25">
        <v>11</v>
      </c>
      <c r="I59" s="1">
        <v>3</v>
      </c>
      <c r="J59" s="26">
        <v>3</v>
      </c>
      <c r="K59" s="27">
        <f t="shared" si="2"/>
        <v>0</v>
      </c>
      <c r="L59" s="27"/>
      <c r="M59" s="27"/>
      <c r="N59" s="1">
        <v>3</v>
      </c>
      <c r="O59" s="27">
        <f t="shared" si="1"/>
        <v>0</v>
      </c>
      <c r="P59" s="27"/>
      <c r="Q59" s="27"/>
      <c r="R59" s="31"/>
    </row>
    <row r="60" spans="1:18" ht="15" customHeight="1">
      <c r="A60" s="24"/>
      <c r="B60" s="23" t="s">
        <v>54</v>
      </c>
      <c r="C60" s="24" t="s">
        <v>18</v>
      </c>
      <c r="D60" s="23"/>
      <c r="E60" s="23" t="s">
        <v>19</v>
      </c>
      <c r="F60" s="23" t="s">
        <v>292</v>
      </c>
      <c r="G60" s="23" t="s">
        <v>122</v>
      </c>
      <c r="H60" s="25">
        <v>3</v>
      </c>
      <c r="I60" s="1"/>
      <c r="J60" s="26"/>
      <c r="K60" s="27">
        <f t="shared" si="2"/>
        <v>0</v>
      </c>
      <c r="L60" s="27"/>
      <c r="M60" s="27"/>
      <c r="N60" s="1">
        <v>2</v>
      </c>
      <c r="O60" s="27">
        <f t="shared" si="1"/>
        <v>0</v>
      </c>
      <c r="P60" s="27"/>
      <c r="Q60" s="27"/>
      <c r="R60" s="31"/>
    </row>
    <row r="61" spans="1:18" ht="15" customHeight="1">
      <c r="A61" s="24">
        <v>29</v>
      </c>
      <c r="B61" s="23" t="s">
        <v>55</v>
      </c>
      <c r="C61" s="24" t="s">
        <v>18</v>
      </c>
      <c r="D61" s="23"/>
      <c r="E61" s="23" t="s">
        <v>19</v>
      </c>
      <c r="F61" s="23" t="s">
        <v>292</v>
      </c>
      <c r="G61" s="23" t="s">
        <v>142</v>
      </c>
      <c r="H61" s="25">
        <v>3</v>
      </c>
      <c r="I61" s="1"/>
      <c r="J61" s="26"/>
      <c r="K61" s="27">
        <f t="shared" si="2"/>
        <v>0</v>
      </c>
      <c r="L61" s="27"/>
      <c r="M61" s="27"/>
      <c r="N61" s="1">
        <v>2</v>
      </c>
      <c r="O61" s="27">
        <f t="shared" si="1"/>
        <v>0</v>
      </c>
      <c r="P61" s="27"/>
      <c r="Q61" s="27"/>
      <c r="R61" s="31"/>
    </row>
    <row r="62" spans="1:18" ht="15.6" customHeight="1">
      <c r="A62" s="24"/>
      <c r="B62" s="23" t="s">
        <v>55</v>
      </c>
      <c r="C62" s="24" t="s">
        <v>18</v>
      </c>
      <c r="D62" s="23"/>
      <c r="E62" s="23" t="s">
        <v>19</v>
      </c>
      <c r="F62" s="23" t="s">
        <v>352</v>
      </c>
      <c r="G62" s="23" t="s">
        <v>122</v>
      </c>
      <c r="H62" s="25">
        <v>5</v>
      </c>
      <c r="I62" s="1"/>
      <c r="J62" s="26"/>
      <c r="K62" s="27">
        <f t="shared" si="2"/>
        <v>0</v>
      </c>
      <c r="L62" s="27"/>
      <c r="M62" s="27"/>
      <c r="N62" s="1">
        <v>4</v>
      </c>
      <c r="O62" s="27">
        <f t="shared" si="1"/>
        <v>0</v>
      </c>
      <c r="P62" s="27"/>
      <c r="Q62" s="27"/>
      <c r="R62" s="31"/>
    </row>
    <row r="63" spans="1:18" ht="15" customHeight="1">
      <c r="A63" s="24">
        <v>30</v>
      </c>
      <c r="B63" s="23" t="s">
        <v>56</v>
      </c>
      <c r="C63" s="24" t="s">
        <v>52</v>
      </c>
      <c r="D63" s="23" t="s">
        <v>57</v>
      </c>
      <c r="E63" s="23" t="s">
        <v>19</v>
      </c>
      <c r="F63" s="23" t="s">
        <v>120</v>
      </c>
      <c r="G63" s="23" t="s">
        <v>142</v>
      </c>
      <c r="H63" s="25">
        <v>3</v>
      </c>
      <c r="I63" s="1"/>
      <c r="J63" s="26"/>
      <c r="K63" s="27">
        <f t="shared" si="2"/>
        <v>0</v>
      </c>
      <c r="L63" s="27"/>
      <c r="M63" s="27"/>
      <c r="N63" s="1">
        <v>4</v>
      </c>
      <c r="O63" s="27">
        <f t="shared" si="1"/>
        <v>0</v>
      </c>
      <c r="P63" s="27"/>
      <c r="Q63" s="27"/>
      <c r="R63" s="31"/>
    </row>
    <row r="64" spans="1:18" ht="15" customHeight="1">
      <c r="A64" s="24">
        <v>31</v>
      </c>
      <c r="B64" s="23" t="s">
        <v>58</v>
      </c>
      <c r="C64" s="24" t="s">
        <v>18</v>
      </c>
      <c r="D64" s="23"/>
      <c r="E64" s="23" t="s">
        <v>19</v>
      </c>
      <c r="F64" s="23" t="s">
        <v>292</v>
      </c>
      <c r="G64" s="23" t="s">
        <v>142</v>
      </c>
      <c r="H64" s="25">
        <v>4</v>
      </c>
      <c r="I64" s="1"/>
      <c r="J64" s="26"/>
      <c r="K64" s="27">
        <f t="shared" si="2"/>
        <v>0</v>
      </c>
      <c r="L64" s="27"/>
      <c r="M64" s="27"/>
      <c r="N64" s="1">
        <v>4</v>
      </c>
      <c r="O64" s="27">
        <f t="shared" si="1"/>
        <v>0</v>
      </c>
      <c r="P64" s="27"/>
      <c r="Q64" s="27"/>
      <c r="R64" s="31"/>
    </row>
    <row r="65" spans="1:18" ht="15" customHeight="1">
      <c r="A65" s="24"/>
      <c r="B65" s="23" t="s">
        <v>58</v>
      </c>
      <c r="C65" s="24" t="s">
        <v>18</v>
      </c>
      <c r="D65" s="23"/>
      <c r="E65" s="23" t="s">
        <v>19</v>
      </c>
      <c r="F65" s="23" t="s">
        <v>292</v>
      </c>
      <c r="G65" s="23" t="s">
        <v>122</v>
      </c>
      <c r="H65" s="25">
        <v>1</v>
      </c>
      <c r="I65" s="1"/>
      <c r="J65" s="26"/>
      <c r="K65" s="27">
        <f t="shared" si="2"/>
        <v>0</v>
      </c>
      <c r="L65" s="27"/>
      <c r="M65" s="27"/>
      <c r="N65" s="1">
        <v>3</v>
      </c>
      <c r="O65" s="27">
        <f t="shared" si="1"/>
        <v>0</v>
      </c>
      <c r="P65" s="27"/>
      <c r="Q65" s="27"/>
      <c r="R65" s="31"/>
    </row>
    <row r="66" spans="1:18" ht="15" customHeight="1">
      <c r="A66" s="24">
        <v>32</v>
      </c>
      <c r="B66" s="23" t="s">
        <v>59</v>
      </c>
      <c r="C66" s="24" t="s">
        <v>18</v>
      </c>
      <c r="D66" s="23"/>
      <c r="E66" s="23" t="s">
        <v>60</v>
      </c>
      <c r="F66" s="23" t="s">
        <v>292</v>
      </c>
      <c r="G66" s="23" t="s">
        <v>142</v>
      </c>
      <c r="H66" s="25">
        <v>6</v>
      </c>
      <c r="I66" s="1"/>
      <c r="J66" s="26"/>
      <c r="K66" s="27">
        <f t="shared" si="2"/>
        <v>0</v>
      </c>
      <c r="L66" s="27"/>
      <c r="M66" s="27"/>
      <c r="N66" s="1">
        <v>1</v>
      </c>
      <c r="O66" s="27">
        <f t="shared" si="1"/>
        <v>0</v>
      </c>
      <c r="P66" s="27"/>
      <c r="Q66" s="27"/>
      <c r="R66" s="31"/>
    </row>
    <row r="67" spans="1:18" ht="15" customHeight="1">
      <c r="A67" s="24"/>
      <c r="B67" s="23" t="s">
        <v>139</v>
      </c>
      <c r="C67" s="24" t="s">
        <v>18</v>
      </c>
      <c r="D67" s="23"/>
      <c r="E67" s="23" t="s">
        <v>60</v>
      </c>
      <c r="F67" s="23" t="s">
        <v>362</v>
      </c>
      <c r="G67" s="23" t="s">
        <v>136</v>
      </c>
      <c r="H67" s="25">
        <v>5</v>
      </c>
      <c r="I67" s="2"/>
      <c r="J67" s="26"/>
      <c r="K67" s="27">
        <f t="shared" si="2"/>
        <v>0</v>
      </c>
      <c r="L67" s="27"/>
      <c r="M67" s="27"/>
      <c r="N67" s="2"/>
      <c r="O67" s="27">
        <f t="shared" si="1"/>
        <v>0</v>
      </c>
      <c r="P67" s="27"/>
      <c r="Q67" s="27"/>
      <c r="R67" s="31"/>
    </row>
    <row r="68" spans="1:18" ht="15" customHeight="1">
      <c r="A68" s="24">
        <v>33</v>
      </c>
      <c r="B68" s="23" t="s">
        <v>333</v>
      </c>
      <c r="C68" s="24" t="s">
        <v>18</v>
      </c>
      <c r="D68" s="23"/>
      <c r="E68" s="23" t="s">
        <v>104</v>
      </c>
      <c r="F68" s="23" t="s">
        <v>268</v>
      </c>
      <c r="G68" s="23" t="s">
        <v>142</v>
      </c>
      <c r="H68" s="25">
        <v>2</v>
      </c>
      <c r="I68" s="2"/>
      <c r="J68" s="26"/>
      <c r="K68" s="27">
        <f t="shared" si="2"/>
        <v>0</v>
      </c>
      <c r="L68" s="27"/>
      <c r="M68" s="27"/>
      <c r="N68" s="2"/>
      <c r="O68" s="27">
        <f t="shared" si="1"/>
        <v>0</v>
      </c>
      <c r="P68" s="27"/>
      <c r="Q68" s="27"/>
      <c r="R68" s="31"/>
    </row>
    <row r="69" spans="1:18" ht="15" customHeight="1">
      <c r="A69" s="24">
        <v>34</v>
      </c>
      <c r="B69" s="23" t="s">
        <v>61</v>
      </c>
      <c r="C69" s="24" t="s">
        <v>18</v>
      </c>
      <c r="D69" s="23"/>
      <c r="E69" s="23" t="s">
        <v>41</v>
      </c>
      <c r="F69" s="23" t="s">
        <v>268</v>
      </c>
      <c r="G69" s="23" t="s">
        <v>142</v>
      </c>
      <c r="H69" s="25">
        <v>6</v>
      </c>
      <c r="I69" s="1">
        <v>2</v>
      </c>
      <c r="J69" s="26">
        <v>2</v>
      </c>
      <c r="K69" s="27">
        <f t="shared" si="2"/>
        <v>0</v>
      </c>
      <c r="L69" s="27"/>
      <c r="M69" s="27"/>
      <c r="N69" s="1">
        <v>10</v>
      </c>
      <c r="O69" s="27">
        <f t="shared" si="1"/>
        <v>0</v>
      </c>
      <c r="P69" s="27"/>
      <c r="Q69" s="27"/>
      <c r="R69" s="31"/>
    </row>
    <row r="70" spans="1:18" ht="15" customHeight="1">
      <c r="A70" s="24"/>
      <c r="B70" s="23" t="s">
        <v>61</v>
      </c>
      <c r="C70" s="24" t="s">
        <v>18</v>
      </c>
      <c r="D70" s="23"/>
      <c r="E70" s="23" t="s">
        <v>41</v>
      </c>
      <c r="F70" s="23" t="s">
        <v>292</v>
      </c>
      <c r="G70" s="23" t="s">
        <v>136</v>
      </c>
      <c r="H70" s="25">
        <v>0</v>
      </c>
      <c r="I70" s="2"/>
      <c r="J70" s="26"/>
      <c r="K70" s="27">
        <f t="shared" si="2"/>
        <v>0</v>
      </c>
      <c r="L70" s="27"/>
      <c r="M70" s="27"/>
      <c r="N70" s="2"/>
      <c r="O70" s="27">
        <f t="shared" si="1"/>
        <v>0</v>
      </c>
      <c r="P70" s="27"/>
      <c r="Q70" s="27"/>
      <c r="R70" s="31"/>
    </row>
    <row r="71" spans="1:18" ht="15" customHeight="1">
      <c r="A71" s="24">
        <v>35</v>
      </c>
      <c r="B71" s="23" t="s">
        <v>62</v>
      </c>
      <c r="C71" s="24" t="s">
        <v>18</v>
      </c>
      <c r="D71" s="23"/>
      <c r="E71" s="23" t="s">
        <v>19</v>
      </c>
      <c r="F71" s="23" t="s">
        <v>292</v>
      </c>
      <c r="G71" s="23" t="s">
        <v>142</v>
      </c>
      <c r="H71" s="25">
        <v>9</v>
      </c>
      <c r="I71" s="1">
        <v>1</v>
      </c>
      <c r="J71" s="26">
        <v>1</v>
      </c>
      <c r="K71" s="27">
        <f t="shared" si="2"/>
        <v>0</v>
      </c>
      <c r="L71" s="27"/>
      <c r="M71" s="27"/>
      <c r="N71" s="1">
        <v>2</v>
      </c>
      <c r="O71" s="27">
        <f t="shared" si="1"/>
        <v>0</v>
      </c>
      <c r="P71" s="27"/>
      <c r="Q71" s="27"/>
      <c r="R71" s="31"/>
    </row>
    <row r="72" spans="1:18" ht="15" customHeight="1">
      <c r="A72" s="24"/>
      <c r="B72" s="23" t="s">
        <v>62</v>
      </c>
      <c r="C72" s="24" t="s">
        <v>18</v>
      </c>
      <c r="D72" s="23"/>
      <c r="E72" s="23" t="s">
        <v>19</v>
      </c>
      <c r="F72" s="23" t="s">
        <v>277</v>
      </c>
      <c r="G72" s="23" t="s">
        <v>124</v>
      </c>
      <c r="H72" s="25">
        <v>0</v>
      </c>
      <c r="I72" s="1"/>
      <c r="J72" s="26"/>
      <c r="K72" s="27">
        <f t="shared" si="2"/>
        <v>0</v>
      </c>
      <c r="L72" s="27"/>
      <c r="M72" s="27"/>
      <c r="N72" s="1"/>
      <c r="O72" s="27">
        <f t="shared" si="1"/>
        <v>0</v>
      </c>
      <c r="P72" s="27"/>
      <c r="Q72" s="27"/>
      <c r="R72" s="31"/>
    </row>
    <row r="73" spans="1:18" ht="15" customHeight="1">
      <c r="A73" s="24"/>
      <c r="B73" s="23" t="s">
        <v>62</v>
      </c>
      <c r="C73" s="24" t="s">
        <v>18</v>
      </c>
      <c r="D73" s="23"/>
      <c r="E73" s="23" t="s">
        <v>19</v>
      </c>
      <c r="F73" s="23" t="s">
        <v>120</v>
      </c>
      <c r="G73" s="23" t="s">
        <v>122</v>
      </c>
      <c r="H73" s="25">
        <v>2</v>
      </c>
      <c r="I73" s="1"/>
      <c r="J73" s="26"/>
      <c r="K73" s="27">
        <f t="shared" si="2"/>
        <v>0</v>
      </c>
      <c r="L73" s="27"/>
      <c r="M73" s="27"/>
      <c r="N73" s="1">
        <v>5</v>
      </c>
      <c r="O73" s="27">
        <f t="shared" si="1"/>
        <v>0</v>
      </c>
      <c r="P73" s="27"/>
      <c r="Q73" s="27"/>
      <c r="R73" s="31"/>
    </row>
    <row r="74" spans="1:1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292</v>
      </c>
      <c r="G74" s="23" t="s">
        <v>210</v>
      </c>
      <c r="H74" s="25">
        <v>2</v>
      </c>
      <c r="I74" s="1"/>
      <c r="J74" s="26"/>
      <c r="K74" s="27">
        <f t="shared" si="2"/>
        <v>0</v>
      </c>
      <c r="L74" s="27"/>
      <c r="M74" s="27"/>
      <c r="N74" s="1">
        <v>4</v>
      </c>
      <c r="O74" s="27">
        <f t="shared" si="1"/>
        <v>0</v>
      </c>
      <c r="P74" s="27"/>
      <c r="Q74" s="27"/>
      <c r="R74" s="31"/>
    </row>
    <row r="75" spans="1:18" ht="15" customHeight="1">
      <c r="A75" s="24">
        <v>36</v>
      </c>
      <c r="B75" s="23" t="s">
        <v>63</v>
      </c>
      <c r="C75" s="24" t="s">
        <v>18</v>
      </c>
      <c r="D75" s="23"/>
      <c r="E75" s="23" t="s">
        <v>41</v>
      </c>
      <c r="F75" s="23" t="s">
        <v>120</v>
      </c>
      <c r="G75" s="23" t="s">
        <v>142</v>
      </c>
      <c r="H75" s="25">
        <v>7</v>
      </c>
      <c r="I75" s="1">
        <v>2</v>
      </c>
      <c r="J75" s="26">
        <v>2</v>
      </c>
      <c r="K75" s="27">
        <f t="shared" si="2"/>
        <v>0</v>
      </c>
      <c r="L75" s="27"/>
      <c r="M75" s="27"/>
      <c r="N75" s="1">
        <v>8</v>
      </c>
      <c r="O75" s="27">
        <f t="shared" si="1"/>
        <v>0</v>
      </c>
      <c r="P75" s="27"/>
      <c r="Q75" s="27"/>
      <c r="R75" s="31"/>
    </row>
    <row r="76" spans="1:18" ht="15" customHeight="1">
      <c r="A76" s="24"/>
      <c r="B76" s="23" t="s">
        <v>63</v>
      </c>
      <c r="C76" s="24" t="s">
        <v>18</v>
      </c>
      <c r="D76" s="23"/>
      <c r="E76" s="23" t="s">
        <v>41</v>
      </c>
      <c r="F76" s="23" t="s">
        <v>363</v>
      </c>
      <c r="G76" s="23" t="s">
        <v>136</v>
      </c>
      <c r="H76" s="25">
        <v>2</v>
      </c>
      <c r="I76" s="2"/>
      <c r="J76" s="26"/>
      <c r="K76" s="27">
        <f t="shared" si="2"/>
        <v>0</v>
      </c>
      <c r="L76" s="27"/>
      <c r="M76" s="27"/>
      <c r="N76" s="2">
        <v>5</v>
      </c>
      <c r="O76" s="27">
        <f t="shared" si="1"/>
        <v>0</v>
      </c>
      <c r="P76" s="27"/>
      <c r="Q76" s="27"/>
      <c r="R76" s="31"/>
    </row>
    <row r="77" spans="1:18" ht="15" customHeight="1">
      <c r="A77" s="24">
        <v>37</v>
      </c>
      <c r="B77" s="23" t="s">
        <v>64</v>
      </c>
      <c r="C77" s="24" t="s">
        <v>18</v>
      </c>
      <c r="D77" s="23"/>
      <c r="E77" s="23" t="s">
        <v>41</v>
      </c>
      <c r="F77" s="23" t="s">
        <v>123</v>
      </c>
      <c r="G77" s="23" t="s">
        <v>142</v>
      </c>
      <c r="H77" s="25">
        <v>0</v>
      </c>
      <c r="I77" s="2"/>
      <c r="J77" s="26"/>
      <c r="K77" s="27">
        <f t="shared" si="2"/>
        <v>0</v>
      </c>
      <c r="L77" s="27"/>
      <c r="M77" s="27"/>
      <c r="N77" s="2"/>
      <c r="O77" s="27">
        <f t="shared" si="1"/>
        <v>0</v>
      </c>
      <c r="P77" s="27"/>
      <c r="Q77" s="27"/>
      <c r="R77" s="31"/>
    </row>
    <row r="78" spans="1:18" ht="15" customHeight="1">
      <c r="A78" s="24"/>
      <c r="B78" s="23" t="s">
        <v>64</v>
      </c>
      <c r="C78" s="24" t="s">
        <v>18</v>
      </c>
      <c r="D78" s="23"/>
      <c r="E78" s="23" t="s">
        <v>41</v>
      </c>
      <c r="F78" s="23" t="s">
        <v>351</v>
      </c>
      <c r="G78" s="23" t="s">
        <v>122</v>
      </c>
      <c r="H78" s="25">
        <v>0</v>
      </c>
      <c r="I78" s="1"/>
      <c r="J78" s="26"/>
      <c r="K78" s="27">
        <f t="shared" si="2"/>
        <v>0</v>
      </c>
      <c r="L78" s="27"/>
      <c r="M78" s="27"/>
      <c r="N78" s="1">
        <v>2</v>
      </c>
      <c r="O78" s="27">
        <f t="shared" si="1"/>
        <v>0</v>
      </c>
      <c r="P78" s="27"/>
      <c r="Q78" s="27"/>
      <c r="R78" s="31"/>
    </row>
    <row r="79" spans="1:18" ht="15" customHeight="1">
      <c r="A79" s="24">
        <v>38</v>
      </c>
      <c r="B79" s="23" t="s">
        <v>238</v>
      </c>
      <c r="C79" s="24" t="s">
        <v>18</v>
      </c>
      <c r="D79" s="23"/>
      <c r="E79" s="23" t="s">
        <v>41</v>
      </c>
      <c r="F79" s="23" t="s">
        <v>123</v>
      </c>
      <c r="G79" s="23" t="s">
        <v>142</v>
      </c>
      <c r="H79" s="25">
        <v>12</v>
      </c>
      <c r="I79" s="1"/>
      <c r="J79" s="26"/>
      <c r="K79" s="27">
        <f t="shared" si="2"/>
        <v>0</v>
      </c>
      <c r="L79" s="27"/>
      <c r="M79" s="27"/>
      <c r="N79" s="1">
        <v>1</v>
      </c>
      <c r="O79" s="27">
        <f t="shared" si="1"/>
        <v>0</v>
      </c>
      <c r="P79" s="27"/>
      <c r="Q79" s="27"/>
      <c r="R79" s="31"/>
    </row>
    <row r="80" spans="1:18" ht="15" customHeight="1">
      <c r="A80" s="24">
        <v>39</v>
      </c>
      <c r="B80" s="23" t="s">
        <v>65</v>
      </c>
      <c r="C80" s="24" t="s">
        <v>18</v>
      </c>
      <c r="D80" s="23"/>
      <c r="E80" s="23" t="s">
        <v>66</v>
      </c>
      <c r="F80" s="23" t="s">
        <v>295</v>
      </c>
      <c r="G80" s="23" t="s">
        <v>142</v>
      </c>
      <c r="H80" s="25">
        <v>4</v>
      </c>
      <c r="I80" s="1"/>
      <c r="J80" s="26"/>
      <c r="K80" s="27">
        <f t="shared" si="2"/>
        <v>0</v>
      </c>
      <c r="L80" s="27"/>
      <c r="M80" s="27"/>
      <c r="N80" s="1">
        <v>9</v>
      </c>
      <c r="O80" s="27">
        <f t="shared" si="1"/>
        <v>0</v>
      </c>
      <c r="P80" s="27"/>
      <c r="Q80" s="27"/>
      <c r="R80" s="31"/>
    </row>
    <row r="81" spans="1:18" ht="15" customHeight="1">
      <c r="A81" s="24"/>
      <c r="B81" s="23" t="s">
        <v>65</v>
      </c>
      <c r="C81" s="24" t="s">
        <v>18</v>
      </c>
      <c r="D81" s="23"/>
      <c r="E81" s="23" t="s">
        <v>66</v>
      </c>
      <c r="F81" s="23" t="s">
        <v>123</v>
      </c>
      <c r="G81" s="23" t="s">
        <v>136</v>
      </c>
      <c r="H81" s="25">
        <v>0</v>
      </c>
      <c r="I81" s="2"/>
      <c r="J81" s="26"/>
      <c r="K81" s="27">
        <f t="shared" si="2"/>
        <v>0</v>
      </c>
      <c r="L81" s="27"/>
      <c r="M81" s="27"/>
      <c r="N81" s="2"/>
      <c r="O81" s="27">
        <f t="shared" si="1"/>
        <v>0</v>
      </c>
      <c r="P81" s="27"/>
      <c r="Q81" s="27"/>
      <c r="R81" s="31"/>
    </row>
    <row r="82" spans="1:18" ht="15" customHeight="1">
      <c r="A82" s="24">
        <v>40</v>
      </c>
      <c r="B82" s="23" t="s">
        <v>67</v>
      </c>
      <c r="C82" s="24" t="s">
        <v>18</v>
      </c>
      <c r="D82" s="23"/>
      <c r="E82" s="23" t="s">
        <v>19</v>
      </c>
      <c r="F82" s="23" t="s">
        <v>292</v>
      </c>
      <c r="G82" s="23" t="s">
        <v>142</v>
      </c>
      <c r="H82" s="25">
        <v>11</v>
      </c>
      <c r="I82" s="1">
        <v>10</v>
      </c>
      <c r="J82" s="26">
        <v>11</v>
      </c>
      <c r="K82" s="27">
        <f t="shared" ref="K82:K150" si="3">L82+M82</f>
        <v>0</v>
      </c>
      <c r="L82" s="27"/>
      <c r="M82" s="27"/>
      <c r="N82" s="1">
        <v>7</v>
      </c>
      <c r="O82" s="27">
        <f t="shared" si="1"/>
        <v>0</v>
      </c>
      <c r="P82" s="27"/>
      <c r="Q82" s="27"/>
      <c r="R82" s="31"/>
    </row>
    <row r="83" spans="1:18" ht="15" customHeight="1">
      <c r="A83" s="24"/>
      <c r="B83" s="23" t="s">
        <v>67</v>
      </c>
      <c r="C83" s="24" t="s">
        <v>18</v>
      </c>
      <c r="D83" s="23"/>
      <c r="E83" s="23" t="s">
        <v>104</v>
      </c>
      <c r="F83" s="23" t="s">
        <v>123</v>
      </c>
      <c r="G83" s="23" t="s">
        <v>122</v>
      </c>
      <c r="H83" s="25">
        <v>0</v>
      </c>
      <c r="I83" s="1"/>
      <c r="J83" s="26"/>
      <c r="K83" s="27">
        <f t="shared" si="3"/>
        <v>0</v>
      </c>
      <c r="L83" s="27"/>
      <c r="M83" s="27"/>
      <c r="N83" s="1"/>
      <c r="O83" s="27">
        <f t="shared" si="1"/>
        <v>0</v>
      </c>
      <c r="P83" s="27"/>
      <c r="Q83" s="27"/>
      <c r="R83" s="31"/>
    </row>
    <row r="84" spans="1:18" ht="15" customHeight="1">
      <c r="A84" s="24">
        <v>41</v>
      </c>
      <c r="B84" s="23" t="s">
        <v>68</v>
      </c>
      <c r="C84" s="24" t="s">
        <v>18</v>
      </c>
      <c r="D84" s="24"/>
      <c r="E84" s="23" t="s">
        <v>50</v>
      </c>
      <c r="F84" s="23" t="s">
        <v>268</v>
      </c>
      <c r="G84" s="23" t="s">
        <v>142</v>
      </c>
      <c r="H84" s="25">
        <v>5</v>
      </c>
      <c r="I84" s="1"/>
      <c r="J84" s="26"/>
      <c r="K84" s="27">
        <f t="shared" si="3"/>
        <v>0</v>
      </c>
      <c r="L84" s="27"/>
      <c r="M84" s="27"/>
      <c r="N84" s="1"/>
      <c r="O84" s="27">
        <f t="shared" si="1"/>
        <v>0</v>
      </c>
      <c r="P84" s="27"/>
      <c r="Q84" s="27"/>
      <c r="R84" s="31"/>
    </row>
    <row r="85" spans="1:18" ht="15" customHeight="1">
      <c r="A85" s="24"/>
      <c r="B85" s="23" t="s">
        <v>68</v>
      </c>
      <c r="C85" s="24" t="s">
        <v>18</v>
      </c>
      <c r="D85" s="23"/>
      <c r="E85" s="23" t="s">
        <v>50</v>
      </c>
      <c r="F85" s="23" t="s">
        <v>123</v>
      </c>
      <c r="G85" s="23" t="s">
        <v>136</v>
      </c>
      <c r="H85" s="25">
        <v>0</v>
      </c>
      <c r="I85" s="2"/>
      <c r="J85" s="26"/>
      <c r="K85" s="27">
        <f t="shared" si="3"/>
        <v>0</v>
      </c>
      <c r="L85" s="27"/>
      <c r="M85" s="27"/>
      <c r="N85" s="2"/>
      <c r="O85" s="27">
        <f t="shared" si="1"/>
        <v>0</v>
      </c>
      <c r="P85" s="27"/>
      <c r="Q85" s="27"/>
      <c r="R85" s="31"/>
    </row>
    <row r="86" spans="1:18" ht="15" customHeight="1">
      <c r="A86" s="24"/>
      <c r="B86" s="23" t="s">
        <v>68</v>
      </c>
      <c r="C86" s="24" t="s">
        <v>18</v>
      </c>
      <c r="D86" s="23"/>
      <c r="E86" s="23" t="s">
        <v>50</v>
      </c>
      <c r="F86" s="23" t="s">
        <v>292</v>
      </c>
      <c r="G86" s="23" t="s">
        <v>124</v>
      </c>
      <c r="H86" s="25">
        <v>0</v>
      </c>
      <c r="I86" s="2"/>
      <c r="J86" s="26"/>
      <c r="K86" s="27">
        <f t="shared" si="3"/>
        <v>0</v>
      </c>
      <c r="L86" s="27"/>
      <c r="M86" s="27"/>
      <c r="N86" s="2"/>
      <c r="O86" s="27">
        <f t="shared" si="1"/>
        <v>0</v>
      </c>
      <c r="P86" s="27"/>
      <c r="Q86" s="27"/>
      <c r="R86" s="31"/>
    </row>
    <row r="87" spans="1:18" ht="15" customHeight="1">
      <c r="A87" s="24">
        <v>42</v>
      </c>
      <c r="B87" s="23" t="s">
        <v>127</v>
      </c>
      <c r="C87" s="24" t="s">
        <v>18</v>
      </c>
      <c r="D87" s="23"/>
      <c r="E87" s="23" t="s">
        <v>41</v>
      </c>
      <c r="F87" s="23" t="s">
        <v>120</v>
      </c>
      <c r="G87" s="23" t="s">
        <v>142</v>
      </c>
      <c r="H87" s="25">
        <v>6</v>
      </c>
      <c r="I87" s="2"/>
      <c r="J87" s="26"/>
      <c r="K87" s="27">
        <f t="shared" si="3"/>
        <v>0</v>
      </c>
      <c r="L87" s="27"/>
      <c r="M87" s="27"/>
      <c r="N87" s="2">
        <v>1</v>
      </c>
      <c r="O87" s="27">
        <f t="shared" si="1"/>
        <v>0</v>
      </c>
      <c r="P87" s="27"/>
      <c r="Q87" s="27"/>
      <c r="R87" s="31"/>
    </row>
    <row r="88" spans="1:18" ht="15" customHeight="1">
      <c r="A88" s="24"/>
      <c r="B88" s="23" t="s">
        <v>127</v>
      </c>
      <c r="C88" s="24" t="s">
        <v>18</v>
      </c>
      <c r="D88" s="23"/>
      <c r="E88" s="23" t="s">
        <v>50</v>
      </c>
      <c r="F88" s="23" t="s">
        <v>364</v>
      </c>
      <c r="G88" s="23" t="s">
        <v>136</v>
      </c>
      <c r="H88" s="25">
        <v>10</v>
      </c>
      <c r="I88" s="2"/>
      <c r="J88" s="26"/>
      <c r="K88" s="27">
        <f t="shared" si="3"/>
        <v>0</v>
      </c>
      <c r="L88" s="27"/>
      <c r="M88" s="27"/>
      <c r="N88" s="2">
        <v>6</v>
      </c>
      <c r="O88" s="27">
        <f t="shared" si="1"/>
        <v>0</v>
      </c>
      <c r="P88" s="27"/>
      <c r="Q88" s="27"/>
      <c r="R88" s="31"/>
    </row>
    <row r="89" spans="1:18" ht="15" customHeight="1">
      <c r="A89" s="24"/>
      <c r="B89" s="23" t="s">
        <v>127</v>
      </c>
      <c r="C89" s="24" t="s">
        <v>18</v>
      </c>
      <c r="D89" s="23"/>
      <c r="E89" s="23" t="s">
        <v>50</v>
      </c>
      <c r="F89" s="23" t="s">
        <v>294</v>
      </c>
      <c r="G89" s="23" t="s">
        <v>124</v>
      </c>
      <c r="H89" s="25">
        <v>1</v>
      </c>
      <c r="I89" s="2"/>
      <c r="J89" s="26"/>
      <c r="K89" s="27">
        <f t="shared" si="3"/>
        <v>0</v>
      </c>
      <c r="L89" s="27"/>
      <c r="M89" s="27"/>
      <c r="N89" s="2">
        <v>1</v>
      </c>
      <c r="O89" s="27">
        <f t="shared" ref="O89:O184" si="4">P89+Q89</f>
        <v>0</v>
      </c>
      <c r="P89" s="27"/>
      <c r="Q89" s="27"/>
      <c r="R89" s="31"/>
    </row>
    <row r="90" spans="1:18" ht="15" customHeight="1">
      <c r="A90" s="74">
        <v>43</v>
      </c>
      <c r="B90" s="77" t="s">
        <v>69</v>
      </c>
      <c r="C90" s="74" t="s">
        <v>18</v>
      </c>
      <c r="D90" s="77"/>
      <c r="E90" s="77" t="s">
        <v>19</v>
      </c>
      <c r="F90" s="77" t="s">
        <v>292</v>
      </c>
      <c r="G90" s="77" t="s">
        <v>142</v>
      </c>
      <c r="H90" s="25">
        <v>0</v>
      </c>
      <c r="I90" s="1"/>
      <c r="J90" s="26"/>
      <c r="K90" s="27">
        <f t="shared" si="3"/>
        <v>0</v>
      </c>
      <c r="L90" s="27"/>
      <c r="M90" s="27"/>
      <c r="N90" s="1"/>
      <c r="O90" s="27">
        <f t="shared" si="4"/>
        <v>0</v>
      </c>
      <c r="P90" s="27"/>
      <c r="Q90" s="27"/>
      <c r="R90" s="31"/>
    </row>
    <row r="91" spans="1:18" ht="15.75" customHeight="1">
      <c r="A91" s="74">
        <v>44</v>
      </c>
      <c r="B91" s="77" t="s">
        <v>70</v>
      </c>
      <c r="C91" s="74" t="s">
        <v>18</v>
      </c>
      <c r="D91" s="77"/>
      <c r="E91" s="77" t="s">
        <v>19</v>
      </c>
      <c r="F91" s="77" t="s">
        <v>292</v>
      </c>
      <c r="G91" s="77" t="s">
        <v>142</v>
      </c>
      <c r="H91" s="25">
        <v>4</v>
      </c>
      <c r="I91" s="1">
        <v>2</v>
      </c>
      <c r="J91" s="26">
        <v>2</v>
      </c>
      <c r="K91" s="27">
        <f t="shared" si="3"/>
        <v>0</v>
      </c>
      <c r="L91" s="27"/>
      <c r="M91" s="27"/>
      <c r="N91" s="1">
        <v>3</v>
      </c>
      <c r="O91" s="27">
        <f t="shared" si="4"/>
        <v>0</v>
      </c>
      <c r="P91" s="27"/>
      <c r="Q91" s="27"/>
      <c r="R91" s="31"/>
    </row>
    <row r="92" spans="1:18" ht="15" customHeight="1">
      <c r="A92" s="74">
        <v>45</v>
      </c>
      <c r="B92" s="77" t="s">
        <v>71</v>
      </c>
      <c r="C92" s="74" t="s">
        <v>18</v>
      </c>
      <c r="D92" s="77"/>
      <c r="E92" s="77" t="s">
        <v>32</v>
      </c>
      <c r="F92" s="77" t="s">
        <v>292</v>
      </c>
      <c r="G92" s="77" t="s">
        <v>121</v>
      </c>
      <c r="H92" s="25">
        <v>0</v>
      </c>
      <c r="I92" s="1"/>
      <c r="J92" s="26"/>
      <c r="K92" s="27">
        <f t="shared" si="3"/>
        <v>0</v>
      </c>
      <c r="L92" s="27"/>
      <c r="M92" s="27"/>
      <c r="N92" s="1"/>
      <c r="O92" s="27">
        <f t="shared" si="4"/>
        <v>0</v>
      </c>
      <c r="P92" s="27"/>
      <c r="Q92" s="27"/>
      <c r="R92" s="31"/>
    </row>
    <row r="93" spans="1:18" ht="15" customHeight="1">
      <c r="A93" s="24"/>
      <c r="B93" s="23" t="s">
        <v>71</v>
      </c>
      <c r="C93" s="24" t="s">
        <v>18</v>
      </c>
      <c r="D93" s="23"/>
      <c r="E93" s="23" t="s">
        <v>32</v>
      </c>
      <c r="F93" s="23" t="s">
        <v>292</v>
      </c>
      <c r="G93" s="23" t="s">
        <v>122</v>
      </c>
      <c r="H93" s="25">
        <v>0</v>
      </c>
      <c r="I93" s="1"/>
      <c r="J93" s="26"/>
      <c r="K93" s="27">
        <f t="shared" si="3"/>
        <v>0</v>
      </c>
      <c r="L93" s="27"/>
      <c r="M93" s="27"/>
      <c r="N93" s="1"/>
      <c r="O93" s="27">
        <f t="shared" si="4"/>
        <v>0</v>
      </c>
      <c r="P93" s="27"/>
      <c r="Q93" s="27"/>
      <c r="R93" s="31"/>
    </row>
    <row r="94" spans="1:18" ht="15" customHeight="1">
      <c r="A94" s="24">
        <v>46</v>
      </c>
      <c r="B94" s="23" t="s">
        <v>72</v>
      </c>
      <c r="C94" s="24" t="s">
        <v>18</v>
      </c>
      <c r="D94" s="23"/>
      <c r="E94" s="23" t="s">
        <v>19</v>
      </c>
      <c r="F94" s="23" t="s">
        <v>268</v>
      </c>
      <c r="G94" s="23" t="s">
        <v>142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31"/>
    </row>
    <row r="95" spans="1:18" ht="15" customHeight="1">
      <c r="A95" s="24"/>
      <c r="B95" s="23" t="s">
        <v>72</v>
      </c>
      <c r="C95" s="24" t="s">
        <v>18</v>
      </c>
      <c r="D95" s="23"/>
      <c r="E95" s="23" t="s">
        <v>19</v>
      </c>
      <c r="F95" s="23" t="s">
        <v>292</v>
      </c>
      <c r="G95" s="23" t="s">
        <v>122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31"/>
    </row>
    <row r="96" spans="1:18" ht="15" customHeight="1">
      <c r="A96" s="24">
        <v>47</v>
      </c>
      <c r="B96" s="23" t="s">
        <v>73</v>
      </c>
      <c r="C96" s="24" t="s">
        <v>18</v>
      </c>
      <c r="D96" s="23"/>
      <c r="E96" s="23" t="s">
        <v>19</v>
      </c>
      <c r="F96" s="23"/>
      <c r="G96" s="23" t="s">
        <v>142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31"/>
    </row>
    <row r="97" spans="1:18" ht="15" customHeight="1">
      <c r="A97" s="24">
        <v>48</v>
      </c>
      <c r="B97" s="23" t="s">
        <v>74</v>
      </c>
      <c r="C97" s="24" t="s">
        <v>18</v>
      </c>
      <c r="D97" s="23"/>
      <c r="E97" s="23" t="s">
        <v>19</v>
      </c>
      <c r="F97" s="23" t="s">
        <v>120</v>
      </c>
      <c r="G97" s="23" t="s">
        <v>142</v>
      </c>
      <c r="H97" s="25">
        <v>7</v>
      </c>
      <c r="I97" s="1">
        <v>2</v>
      </c>
      <c r="J97" s="26">
        <v>2</v>
      </c>
      <c r="K97" s="27">
        <f t="shared" si="3"/>
        <v>0</v>
      </c>
      <c r="L97" s="27"/>
      <c r="M97" s="27"/>
      <c r="N97" s="1">
        <v>6</v>
      </c>
      <c r="O97" s="27">
        <f t="shared" si="4"/>
        <v>0</v>
      </c>
      <c r="P97" s="27"/>
      <c r="Q97" s="27"/>
      <c r="R97" s="31"/>
    </row>
    <row r="98" spans="1:18" ht="15" customHeight="1">
      <c r="A98" s="24">
        <v>49</v>
      </c>
      <c r="B98" s="23" t="s">
        <v>312</v>
      </c>
      <c r="C98" s="24" t="s">
        <v>18</v>
      </c>
      <c r="D98" s="23"/>
      <c r="E98" s="23" t="s">
        <v>19</v>
      </c>
      <c r="F98" s="23" t="s">
        <v>298</v>
      </c>
      <c r="G98" s="23" t="s">
        <v>142</v>
      </c>
      <c r="H98" s="25">
        <v>5</v>
      </c>
      <c r="I98" s="1"/>
      <c r="J98" s="26"/>
      <c r="K98" s="27">
        <f t="shared" si="3"/>
        <v>0</v>
      </c>
      <c r="L98" s="27"/>
      <c r="M98" s="27"/>
      <c r="N98" s="1"/>
      <c r="O98" s="27">
        <f t="shared" si="4"/>
        <v>0</v>
      </c>
      <c r="P98" s="27"/>
      <c r="Q98" s="27"/>
      <c r="R98" s="31"/>
    </row>
    <row r="99" spans="1:18" ht="15" customHeight="1">
      <c r="A99" s="24"/>
      <c r="B99" s="23" t="s">
        <v>312</v>
      </c>
      <c r="C99" s="24" t="s">
        <v>18</v>
      </c>
      <c r="D99" s="23"/>
      <c r="E99" s="23" t="s">
        <v>304</v>
      </c>
      <c r="F99" s="23" t="s">
        <v>339</v>
      </c>
      <c r="G99" s="23" t="s">
        <v>131</v>
      </c>
      <c r="H99" s="25">
        <v>7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31"/>
    </row>
    <row r="100" spans="1:18" ht="15" customHeight="1">
      <c r="A100" s="24"/>
      <c r="B100" s="23" t="s">
        <v>312</v>
      </c>
      <c r="C100" s="24" t="s">
        <v>18</v>
      </c>
      <c r="D100" s="23"/>
      <c r="E100" s="23" t="s">
        <v>41</v>
      </c>
      <c r="F100" s="23" t="s">
        <v>365</v>
      </c>
      <c r="G100" s="23" t="s">
        <v>136</v>
      </c>
      <c r="H100" s="25">
        <v>8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31"/>
    </row>
    <row r="101" spans="1:18" ht="15" customHeight="1">
      <c r="A101" s="24">
        <v>50</v>
      </c>
      <c r="B101" s="23" t="s">
        <v>75</v>
      </c>
      <c r="C101" s="24" t="s">
        <v>18</v>
      </c>
      <c r="D101" s="23"/>
      <c r="E101" s="23" t="s">
        <v>19</v>
      </c>
      <c r="F101" s="23" t="s">
        <v>120</v>
      </c>
      <c r="G101" s="23" t="s">
        <v>142</v>
      </c>
      <c r="H101" s="25">
        <v>5</v>
      </c>
      <c r="I101" s="1">
        <v>2</v>
      </c>
      <c r="J101" s="26">
        <v>2</v>
      </c>
      <c r="K101" s="27">
        <f t="shared" si="3"/>
        <v>0</v>
      </c>
      <c r="L101" s="27"/>
      <c r="M101" s="27"/>
      <c r="N101" s="1">
        <v>14</v>
      </c>
      <c r="O101" s="27">
        <f>P101+Q101</f>
        <v>0</v>
      </c>
      <c r="P101" s="27"/>
      <c r="Q101" s="27"/>
      <c r="R101" s="31"/>
    </row>
    <row r="102" spans="1:18" ht="13.15" customHeight="1">
      <c r="A102" s="24"/>
      <c r="B102" s="23" t="s">
        <v>75</v>
      </c>
      <c r="C102" s="24" t="s">
        <v>18</v>
      </c>
      <c r="D102" s="23"/>
      <c r="E102" s="23" t="s">
        <v>76</v>
      </c>
      <c r="F102" s="23" t="s">
        <v>335</v>
      </c>
      <c r="G102" s="23" t="s">
        <v>131</v>
      </c>
      <c r="H102" s="25">
        <v>0</v>
      </c>
      <c r="I102" s="1"/>
      <c r="J102" s="26"/>
      <c r="K102" s="27">
        <f t="shared" si="3"/>
        <v>0</v>
      </c>
      <c r="L102" s="27"/>
      <c r="M102" s="27"/>
      <c r="N102" s="1">
        <v>5</v>
      </c>
      <c r="O102" s="27">
        <f>P102+Q102</f>
        <v>792.9</v>
      </c>
      <c r="P102" s="27">
        <v>792.9</v>
      </c>
      <c r="Q102" s="27"/>
      <c r="R102" s="31"/>
    </row>
    <row r="103" spans="1:18" ht="15" customHeight="1">
      <c r="A103" s="24"/>
      <c r="B103" s="23" t="s">
        <v>140</v>
      </c>
      <c r="C103" s="24" t="s">
        <v>18</v>
      </c>
      <c r="D103" s="23"/>
      <c r="E103" s="23" t="s">
        <v>76</v>
      </c>
      <c r="F103" s="23" t="s">
        <v>120</v>
      </c>
      <c r="G103" s="23" t="s">
        <v>136</v>
      </c>
      <c r="H103" s="25">
        <v>0</v>
      </c>
      <c r="I103" s="2"/>
      <c r="J103" s="26"/>
      <c r="K103" s="27">
        <f t="shared" si="3"/>
        <v>0</v>
      </c>
      <c r="L103" s="27"/>
      <c r="M103" s="27"/>
      <c r="N103" s="2">
        <v>11</v>
      </c>
      <c r="O103" s="27">
        <f>P103+Q103</f>
        <v>4212.68</v>
      </c>
      <c r="P103" s="27">
        <v>4212.68</v>
      </c>
      <c r="Q103" s="27"/>
      <c r="R103" s="31"/>
    </row>
    <row r="104" spans="1:18" ht="15" customHeight="1">
      <c r="A104" s="24">
        <v>51</v>
      </c>
      <c r="B104" s="23" t="s">
        <v>267</v>
      </c>
      <c r="C104" s="24" t="s">
        <v>18</v>
      </c>
      <c r="D104" s="23"/>
      <c r="E104" s="23" t="s">
        <v>19</v>
      </c>
      <c r="F104" s="23" t="s">
        <v>268</v>
      </c>
      <c r="G104" s="23" t="s">
        <v>142</v>
      </c>
      <c r="H104" s="25">
        <v>0</v>
      </c>
      <c r="I104" s="2"/>
      <c r="J104" s="26"/>
      <c r="K104" s="27">
        <f t="shared" si="3"/>
        <v>0</v>
      </c>
      <c r="L104" s="27"/>
      <c r="M104" s="27"/>
      <c r="N104" s="2"/>
      <c r="O104" s="27">
        <f>P104+Q104</f>
        <v>0</v>
      </c>
      <c r="P104" s="27"/>
      <c r="Q104" s="27"/>
      <c r="R104" s="31"/>
    </row>
    <row r="105" spans="1:18" ht="15" customHeight="1">
      <c r="A105" s="24"/>
      <c r="B105" s="23" t="s">
        <v>267</v>
      </c>
      <c r="C105" s="24" t="s">
        <v>18</v>
      </c>
      <c r="D105" s="23"/>
      <c r="E105" s="23" t="s">
        <v>19</v>
      </c>
      <c r="F105" s="23" t="s">
        <v>336</v>
      </c>
      <c r="G105" s="23" t="s">
        <v>131</v>
      </c>
      <c r="H105" s="25">
        <v>3</v>
      </c>
      <c r="I105" s="2"/>
      <c r="J105" s="26"/>
      <c r="K105" s="27">
        <f t="shared" si="3"/>
        <v>0</v>
      </c>
      <c r="L105" s="27"/>
      <c r="M105" s="27"/>
      <c r="N105" s="2">
        <v>2</v>
      </c>
      <c r="O105" s="27">
        <f t="shared" ref="O105:O109" si="5">P105+Q105</f>
        <v>1703.9</v>
      </c>
      <c r="P105" s="27">
        <v>1703.9</v>
      </c>
      <c r="Q105" s="27"/>
      <c r="R105" s="31"/>
    </row>
    <row r="106" spans="1:18" ht="15" customHeight="1">
      <c r="A106" s="24"/>
      <c r="B106" s="23" t="s">
        <v>267</v>
      </c>
      <c r="C106" s="24" t="s">
        <v>18</v>
      </c>
      <c r="D106" s="23"/>
      <c r="E106" s="23" t="s">
        <v>19</v>
      </c>
      <c r="F106" s="23" t="s">
        <v>123</v>
      </c>
      <c r="G106" s="23" t="s">
        <v>122</v>
      </c>
      <c r="H106" s="25">
        <v>2</v>
      </c>
      <c r="I106" s="2"/>
      <c r="J106" s="26"/>
      <c r="K106" s="27">
        <f t="shared" si="3"/>
        <v>0</v>
      </c>
      <c r="L106" s="27"/>
      <c r="M106" s="27"/>
      <c r="N106" s="2">
        <v>1</v>
      </c>
      <c r="O106" s="27">
        <f t="shared" si="5"/>
        <v>0</v>
      </c>
      <c r="P106" s="27"/>
      <c r="Q106" s="27"/>
      <c r="R106" s="31"/>
    </row>
    <row r="107" spans="1:18" ht="15" customHeight="1">
      <c r="A107" s="24">
        <v>52</v>
      </c>
      <c r="B107" s="23" t="s">
        <v>306</v>
      </c>
      <c r="C107" s="24" t="s">
        <v>18</v>
      </c>
      <c r="D107" s="23"/>
      <c r="E107" s="23" t="s">
        <v>104</v>
      </c>
      <c r="F107" s="23" t="s">
        <v>285</v>
      </c>
      <c r="G107" s="23" t="s">
        <v>142</v>
      </c>
      <c r="H107" s="25">
        <v>1</v>
      </c>
      <c r="I107" s="2"/>
      <c r="J107" s="26"/>
      <c r="K107" s="27">
        <v>0</v>
      </c>
      <c r="L107" s="27"/>
      <c r="M107" s="27"/>
      <c r="N107" s="2"/>
      <c r="O107" s="27">
        <v>0</v>
      </c>
      <c r="P107" s="27"/>
      <c r="Q107" s="27"/>
      <c r="R107" s="31"/>
    </row>
    <row r="108" spans="1:18" ht="15" customHeight="1">
      <c r="A108" s="24"/>
      <c r="B108" s="23" t="s">
        <v>306</v>
      </c>
      <c r="C108" s="24" t="s">
        <v>30</v>
      </c>
      <c r="D108" s="23" t="s">
        <v>334</v>
      </c>
      <c r="E108" s="23" t="s">
        <v>104</v>
      </c>
      <c r="F108" s="23" t="s">
        <v>340</v>
      </c>
      <c r="G108" s="23" t="s">
        <v>131</v>
      </c>
      <c r="H108" s="25">
        <v>4</v>
      </c>
      <c r="I108" s="2"/>
      <c r="J108" s="26"/>
      <c r="K108" s="27">
        <f t="shared" si="3"/>
        <v>0</v>
      </c>
      <c r="L108" s="27"/>
      <c r="M108" s="27"/>
      <c r="N108" s="2">
        <v>1</v>
      </c>
      <c r="O108" s="27">
        <f t="shared" si="5"/>
        <v>0</v>
      </c>
      <c r="P108" s="27"/>
      <c r="Q108" s="27"/>
      <c r="R108" s="31"/>
    </row>
    <row r="109" spans="1:18" ht="15" customHeight="1">
      <c r="A109" s="24"/>
      <c r="B109" s="23" t="s">
        <v>306</v>
      </c>
      <c r="C109" s="24" t="s">
        <v>30</v>
      </c>
      <c r="D109" s="23" t="s">
        <v>307</v>
      </c>
      <c r="E109" s="23" t="s">
        <v>19</v>
      </c>
      <c r="F109" s="23" t="s">
        <v>350</v>
      </c>
      <c r="G109" s="23" t="s">
        <v>122</v>
      </c>
      <c r="H109" s="25">
        <v>3</v>
      </c>
      <c r="I109" s="2"/>
      <c r="J109" s="26"/>
      <c r="K109" s="27">
        <f t="shared" si="3"/>
        <v>0</v>
      </c>
      <c r="L109" s="27"/>
      <c r="M109" s="27"/>
      <c r="N109" s="2"/>
      <c r="O109" s="27">
        <f t="shared" si="5"/>
        <v>0</v>
      </c>
      <c r="P109" s="27"/>
      <c r="Q109" s="27"/>
      <c r="R109" s="31"/>
    </row>
    <row r="110" spans="1:18" ht="30.75" customHeight="1">
      <c r="A110" s="24">
        <v>53</v>
      </c>
      <c r="B110" s="23" t="s">
        <v>78</v>
      </c>
      <c r="C110" s="24" t="s">
        <v>18</v>
      </c>
      <c r="D110" s="23" t="s">
        <v>276</v>
      </c>
      <c r="E110" s="23" t="s">
        <v>19</v>
      </c>
      <c r="F110" s="23" t="s">
        <v>123</v>
      </c>
      <c r="G110" s="23" t="s">
        <v>142</v>
      </c>
      <c r="H110" s="25">
        <v>11</v>
      </c>
      <c r="I110" s="1">
        <v>10</v>
      </c>
      <c r="J110" s="26">
        <v>10</v>
      </c>
      <c r="K110" s="27">
        <f t="shared" si="3"/>
        <v>0</v>
      </c>
      <c r="L110" s="27"/>
      <c r="M110" s="27"/>
      <c r="N110" s="1">
        <v>3</v>
      </c>
      <c r="O110" s="27">
        <f t="shared" si="4"/>
        <v>0</v>
      </c>
      <c r="P110" s="27"/>
      <c r="Q110" s="27"/>
      <c r="R110" s="31"/>
    </row>
    <row r="111" spans="1:18" ht="15" customHeight="1">
      <c r="A111" s="24"/>
      <c r="B111" s="23" t="s">
        <v>78</v>
      </c>
      <c r="C111" s="24" t="s">
        <v>18</v>
      </c>
      <c r="D111" s="23"/>
      <c r="E111" s="23" t="s">
        <v>19</v>
      </c>
      <c r="F111" s="23" t="s">
        <v>120</v>
      </c>
      <c r="G111" s="23" t="s">
        <v>131</v>
      </c>
      <c r="H111" s="25">
        <v>0</v>
      </c>
      <c r="I111" s="1"/>
      <c r="J111" s="26"/>
      <c r="K111" s="27">
        <f t="shared" si="3"/>
        <v>0</v>
      </c>
      <c r="L111" s="27"/>
      <c r="M111" s="27"/>
      <c r="N111" s="1"/>
      <c r="O111" s="27">
        <f t="shared" si="4"/>
        <v>0</v>
      </c>
      <c r="P111" s="27"/>
      <c r="Q111" s="27"/>
      <c r="R111" s="31"/>
    </row>
    <row r="112" spans="1:18" ht="15" customHeight="1">
      <c r="A112" s="24"/>
      <c r="B112" s="23" t="s">
        <v>78</v>
      </c>
      <c r="C112" s="24" t="s">
        <v>18</v>
      </c>
      <c r="D112" s="23"/>
      <c r="E112" s="23" t="s">
        <v>19</v>
      </c>
      <c r="F112" s="23" t="s">
        <v>120</v>
      </c>
      <c r="G112" s="23" t="s">
        <v>122</v>
      </c>
      <c r="H112" s="25">
        <v>0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31"/>
    </row>
    <row r="113" spans="1:18" ht="15" customHeight="1">
      <c r="A113" s="24">
        <v>54</v>
      </c>
      <c r="B113" s="23" t="s">
        <v>79</v>
      </c>
      <c r="C113" s="24" t="s">
        <v>18</v>
      </c>
      <c r="D113" s="23"/>
      <c r="E113" s="23" t="s">
        <v>19</v>
      </c>
      <c r="F113" s="23"/>
      <c r="G113" s="23" t="s">
        <v>142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31"/>
    </row>
    <row r="114" spans="1:18" ht="15" customHeight="1">
      <c r="A114" s="24">
        <v>55</v>
      </c>
      <c r="B114" s="23" t="s">
        <v>80</v>
      </c>
      <c r="C114" s="24" t="s">
        <v>18</v>
      </c>
      <c r="D114" s="23"/>
      <c r="E114" s="23" t="s">
        <v>19</v>
      </c>
      <c r="F114" s="23" t="s">
        <v>120</v>
      </c>
      <c r="G114" s="23" t="s">
        <v>142</v>
      </c>
      <c r="H114" s="25">
        <v>11</v>
      </c>
      <c r="I114" s="1">
        <v>6</v>
      </c>
      <c r="J114" s="26">
        <v>7</v>
      </c>
      <c r="K114" s="27">
        <f t="shared" si="3"/>
        <v>0</v>
      </c>
      <c r="L114" s="27"/>
      <c r="M114" s="27"/>
      <c r="N114" s="1">
        <v>4</v>
      </c>
      <c r="O114" s="27">
        <f t="shared" si="4"/>
        <v>0</v>
      </c>
      <c r="P114" s="27"/>
      <c r="Q114" s="27"/>
      <c r="R114" s="31"/>
    </row>
    <row r="115" spans="1:18" ht="15" customHeight="1">
      <c r="A115" s="24"/>
      <c r="B115" s="23" t="s">
        <v>80</v>
      </c>
      <c r="C115" s="24" t="s">
        <v>18</v>
      </c>
      <c r="D115" s="23"/>
      <c r="E115" s="23" t="s">
        <v>19</v>
      </c>
      <c r="F115" s="23" t="s">
        <v>120</v>
      </c>
      <c r="G115" s="23" t="s">
        <v>122</v>
      </c>
      <c r="H115" s="25">
        <v>0</v>
      </c>
      <c r="I115" s="1"/>
      <c r="J115" s="26"/>
      <c r="K115" s="27">
        <f t="shared" si="3"/>
        <v>0</v>
      </c>
      <c r="L115" s="27"/>
      <c r="M115" s="27"/>
      <c r="N115" s="1"/>
      <c r="O115" s="27">
        <f t="shared" si="4"/>
        <v>0</v>
      </c>
      <c r="P115" s="27"/>
      <c r="Q115" s="27"/>
      <c r="R115" s="31"/>
    </row>
    <row r="116" spans="1:18" ht="15" customHeight="1">
      <c r="A116" s="24">
        <v>56</v>
      </c>
      <c r="B116" s="23" t="s">
        <v>372</v>
      </c>
      <c r="C116" s="24" t="s">
        <v>18</v>
      </c>
      <c r="D116" s="23"/>
      <c r="E116" s="23" t="s">
        <v>19</v>
      </c>
      <c r="F116" s="23" t="s">
        <v>298</v>
      </c>
      <c r="G116" s="23" t="s">
        <v>142</v>
      </c>
      <c r="H116" s="25">
        <v>2</v>
      </c>
      <c r="I116" s="1"/>
      <c r="J116" s="26"/>
      <c r="K116" s="27">
        <v>0</v>
      </c>
      <c r="L116" s="27"/>
      <c r="M116" s="27"/>
      <c r="N116" s="1"/>
      <c r="O116" s="27">
        <v>0</v>
      </c>
      <c r="P116" s="27"/>
      <c r="Q116" s="27"/>
      <c r="R116" s="31"/>
    </row>
    <row r="117" spans="1:18" ht="15" customHeight="1">
      <c r="A117" s="24">
        <v>57</v>
      </c>
      <c r="B117" s="23" t="s">
        <v>313</v>
      </c>
      <c r="C117" s="24" t="s">
        <v>18</v>
      </c>
      <c r="D117" s="23"/>
      <c r="E117" s="23"/>
      <c r="F117" s="23" t="s">
        <v>342</v>
      </c>
      <c r="G117" s="23" t="s">
        <v>131</v>
      </c>
      <c r="H117" s="25">
        <v>0</v>
      </c>
      <c r="I117" s="1"/>
      <c r="J117" s="26"/>
      <c r="K117" s="27">
        <f t="shared" si="3"/>
        <v>0</v>
      </c>
      <c r="L117" s="27"/>
      <c r="M117" s="27"/>
      <c r="N117" s="1"/>
      <c r="O117" s="27">
        <f t="shared" si="4"/>
        <v>0</v>
      </c>
      <c r="P117" s="27"/>
      <c r="Q117" s="27"/>
      <c r="R117" s="31"/>
    </row>
    <row r="118" spans="1:18" ht="15" customHeight="1">
      <c r="A118" s="24"/>
      <c r="B118" s="23" t="s">
        <v>313</v>
      </c>
      <c r="C118" s="24" t="s">
        <v>18</v>
      </c>
      <c r="D118" s="23"/>
      <c r="E118" s="23" t="s">
        <v>41</v>
      </c>
      <c r="F118" s="23" t="s">
        <v>366</v>
      </c>
      <c r="G118" s="23" t="s">
        <v>136</v>
      </c>
      <c r="H118" s="25">
        <v>2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31"/>
    </row>
    <row r="119" spans="1:18" ht="15" customHeight="1">
      <c r="A119" s="24">
        <v>58</v>
      </c>
      <c r="B119" s="23" t="s">
        <v>373</v>
      </c>
      <c r="C119" s="24" t="s">
        <v>18</v>
      </c>
      <c r="D119" s="23"/>
      <c r="E119" s="23" t="s">
        <v>104</v>
      </c>
      <c r="F119" s="23" t="s">
        <v>298</v>
      </c>
      <c r="G119" s="23" t="s">
        <v>142</v>
      </c>
      <c r="H119" s="25">
        <v>0</v>
      </c>
      <c r="I119" s="1"/>
      <c r="J119" s="26"/>
      <c r="K119" s="27">
        <v>0</v>
      </c>
      <c r="L119" s="27"/>
      <c r="M119" s="27"/>
      <c r="N119" s="1"/>
      <c r="O119" s="27">
        <v>0</v>
      </c>
      <c r="P119" s="27"/>
      <c r="Q119" s="27"/>
      <c r="R119" s="31"/>
    </row>
    <row r="120" spans="1:18" ht="15" customHeight="1">
      <c r="A120" s="24">
        <v>59</v>
      </c>
      <c r="B120" s="23" t="s">
        <v>81</v>
      </c>
      <c r="C120" s="24" t="s">
        <v>18</v>
      </c>
      <c r="D120" s="23"/>
      <c r="E120" s="23" t="s">
        <v>19</v>
      </c>
      <c r="F120" s="23" t="s">
        <v>120</v>
      </c>
      <c r="G120" s="23" t="s">
        <v>142</v>
      </c>
      <c r="H120" s="25">
        <v>0</v>
      </c>
      <c r="I120" s="1"/>
      <c r="J120" s="26"/>
      <c r="K120" s="27">
        <f t="shared" si="3"/>
        <v>0</v>
      </c>
      <c r="L120" s="27"/>
      <c r="M120" s="27"/>
      <c r="N120" s="1">
        <v>1</v>
      </c>
      <c r="O120" s="27">
        <f t="shared" si="4"/>
        <v>0</v>
      </c>
      <c r="P120" s="27"/>
      <c r="Q120" s="27"/>
      <c r="R120" s="31"/>
    </row>
    <row r="121" spans="1:18" ht="15" customHeight="1">
      <c r="A121" s="24"/>
      <c r="B121" s="23" t="s">
        <v>81</v>
      </c>
      <c r="C121" s="24" t="s">
        <v>18</v>
      </c>
      <c r="D121" s="23"/>
      <c r="E121" s="23" t="s">
        <v>19</v>
      </c>
      <c r="F121" s="23" t="s">
        <v>292</v>
      </c>
      <c r="G121" s="23" t="s">
        <v>122</v>
      </c>
      <c r="H121" s="25">
        <v>0</v>
      </c>
      <c r="I121" s="1"/>
      <c r="J121" s="26"/>
      <c r="K121" s="27">
        <f t="shared" si="3"/>
        <v>0</v>
      </c>
      <c r="L121" s="27"/>
      <c r="M121" s="27"/>
      <c r="N121" s="1">
        <v>1</v>
      </c>
      <c r="O121" s="27">
        <f t="shared" si="4"/>
        <v>0</v>
      </c>
      <c r="P121" s="27"/>
      <c r="Q121" s="27"/>
      <c r="R121" s="31"/>
    </row>
    <row r="122" spans="1:18" ht="15" customHeight="1">
      <c r="A122" s="24">
        <v>60</v>
      </c>
      <c r="B122" s="23" t="s">
        <v>82</v>
      </c>
      <c r="C122" s="24" t="s">
        <v>18</v>
      </c>
      <c r="D122" s="23"/>
      <c r="E122" s="23" t="s">
        <v>19</v>
      </c>
      <c r="F122" s="23" t="s">
        <v>295</v>
      </c>
      <c r="G122" s="23" t="s">
        <v>142</v>
      </c>
      <c r="H122" s="25">
        <v>8</v>
      </c>
      <c r="I122" s="1">
        <v>4</v>
      </c>
      <c r="J122" s="26">
        <v>4</v>
      </c>
      <c r="K122" s="27">
        <f t="shared" si="3"/>
        <v>0</v>
      </c>
      <c r="L122" s="27"/>
      <c r="M122" s="27"/>
      <c r="N122" s="1">
        <v>1</v>
      </c>
      <c r="O122" s="27">
        <f t="shared" si="4"/>
        <v>0</v>
      </c>
      <c r="P122" s="27"/>
      <c r="Q122" s="27"/>
      <c r="R122" s="31"/>
    </row>
    <row r="123" spans="1:18" ht="15" customHeight="1">
      <c r="A123" s="24"/>
      <c r="B123" s="23" t="s">
        <v>82</v>
      </c>
      <c r="C123" s="24" t="s">
        <v>18</v>
      </c>
      <c r="D123" s="23"/>
      <c r="E123" s="23" t="s">
        <v>19</v>
      </c>
      <c r="F123" s="23" t="s">
        <v>295</v>
      </c>
      <c r="G123" s="23" t="s">
        <v>122</v>
      </c>
      <c r="H123" s="25">
        <v>0</v>
      </c>
      <c r="I123" s="1"/>
      <c r="J123" s="26"/>
      <c r="K123" s="27">
        <f t="shared" si="3"/>
        <v>0</v>
      </c>
      <c r="L123" s="27"/>
      <c r="M123" s="27"/>
      <c r="N123" s="1">
        <v>2</v>
      </c>
      <c r="O123" s="27">
        <f t="shared" si="4"/>
        <v>0</v>
      </c>
      <c r="P123" s="27"/>
      <c r="Q123" s="27"/>
      <c r="R123" s="31"/>
    </row>
    <row r="124" spans="1:18" ht="14.45" customHeight="1">
      <c r="A124" s="24">
        <v>61</v>
      </c>
      <c r="B124" s="23" t="s">
        <v>83</v>
      </c>
      <c r="C124" s="24" t="s">
        <v>30</v>
      </c>
      <c r="D124" s="23" t="s">
        <v>184</v>
      </c>
      <c r="E124" s="23" t="s">
        <v>19</v>
      </c>
      <c r="F124" s="23" t="s">
        <v>123</v>
      </c>
      <c r="G124" s="23" t="s">
        <v>142</v>
      </c>
      <c r="H124" s="25">
        <v>28</v>
      </c>
      <c r="I124" s="1">
        <v>15</v>
      </c>
      <c r="J124" s="26">
        <v>15</v>
      </c>
      <c r="K124" s="27">
        <f t="shared" si="3"/>
        <v>0</v>
      </c>
      <c r="L124" s="27"/>
      <c r="M124" s="27"/>
      <c r="N124" s="1">
        <v>8</v>
      </c>
      <c r="O124" s="27">
        <f t="shared" si="4"/>
        <v>0</v>
      </c>
      <c r="P124" s="27"/>
      <c r="Q124" s="27"/>
      <c r="R124" s="31"/>
    </row>
    <row r="125" spans="1:18" ht="14.45" customHeight="1">
      <c r="A125" s="24">
        <v>62</v>
      </c>
      <c r="B125" s="23" t="s">
        <v>303</v>
      </c>
      <c r="C125" s="24" t="s">
        <v>18</v>
      </c>
      <c r="D125" s="23"/>
      <c r="E125" s="23" t="s">
        <v>304</v>
      </c>
      <c r="F125" s="23" t="s">
        <v>298</v>
      </c>
      <c r="G125" s="23" t="s">
        <v>131</v>
      </c>
      <c r="H125" s="25">
        <v>5</v>
      </c>
      <c r="I125" s="1"/>
      <c r="J125" s="26"/>
      <c r="K125" s="27">
        <f t="shared" si="3"/>
        <v>0</v>
      </c>
      <c r="L125" s="27"/>
      <c r="M125" s="27"/>
      <c r="N125" s="1"/>
      <c r="O125" s="27">
        <f t="shared" si="4"/>
        <v>0</v>
      </c>
      <c r="P125" s="27"/>
      <c r="Q125" s="27"/>
      <c r="R125" s="31"/>
    </row>
    <row r="126" spans="1:18" ht="15" customHeight="1">
      <c r="A126" s="24">
        <v>63</v>
      </c>
      <c r="B126" s="23" t="s">
        <v>84</v>
      </c>
      <c r="C126" s="24" t="s">
        <v>18</v>
      </c>
      <c r="D126" s="23"/>
      <c r="E126" s="23" t="s">
        <v>19</v>
      </c>
      <c r="F126" s="23" t="s">
        <v>123</v>
      </c>
      <c r="G126" s="23" t="s">
        <v>142</v>
      </c>
      <c r="H126" s="25">
        <v>10</v>
      </c>
      <c r="I126" s="1">
        <v>6</v>
      </c>
      <c r="J126" s="26">
        <v>6</v>
      </c>
      <c r="K126" s="27">
        <f t="shared" si="3"/>
        <v>0</v>
      </c>
      <c r="L126" s="27"/>
      <c r="M126" s="27"/>
      <c r="N126" s="1">
        <v>8</v>
      </c>
      <c r="O126" s="27">
        <f t="shared" si="4"/>
        <v>0</v>
      </c>
      <c r="P126" s="27"/>
      <c r="Q126" s="27"/>
      <c r="R126" s="31"/>
    </row>
    <row r="127" spans="1:18" ht="15" customHeight="1">
      <c r="A127" s="24"/>
      <c r="B127" s="23" t="s">
        <v>84</v>
      </c>
      <c r="C127" s="24" t="s">
        <v>18</v>
      </c>
      <c r="D127" s="23"/>
      <c r="E127" s="23" t="s">
        <v>19</v>
      </c>
      <c r="F127" s="23" t="s">
        <v>123</v>
      </c>
      <c r="G127" s="23" t="s">
        <v>122</v>
      </c>
      <c r="H127" s="25">
        <v>0</v>
      </c>
      <c r="I127" s="1"/>
      <c r="J127" s="26"/>
      <c r="K127" s="27">
        <f t="shared" si="3"/>
        <v>0</v>
      </c>
      <c r="L127" s="27"/>
      <c r="M127" s="27"/>
      <c r="N127" s="1"/>
      <c r="O127" s="27">
        <f t="shared" si="4"/>
        <v>0</v>
      </c>
      <c r="P127" s="27"/>
      <c r="Q127" s="27"/>
      <c r="R127" s="31"/>
    </row>
    <row r="128" spans="1:18" ht="15" customHeight="1">
      <c r="A128" s="24">
        <v>64</v>
      </c>
      <c r="B128" s="23" t="s">
        <v>85</v>
      </c>
      <c r="C128" s="24" t="s">
        <v>18</v>
      </c>
      <c r="D128" s="23"/>
      <c r="E128" s="23" t="s">
        <v>77</v>
      </c>
      <c r="F128" s="23" t="s">
        <v>120</v>
      </c>
      <c r="G128" s="23" t="s">
        <v>142</v>
      </c>
      <c r="H128" s="25">
        <v>10</v>
      </c>
      <c r="I128" s="1"/>
      <c r="J128" s="26"/>
      <c r="K128" s="27">
        <f t="shared" si="3"/>
        <v>0</v>
      </c>
      <c r="L128" s="27"/>
      <c r="M128" s="27"/>
      <c r="N128" s="1">
        <v>9</v>
      </c>
      <c r="O128" s="27">
        <f t="shared" si="4"/>
        <v>0</v>
      </c>
      <c r="P128" s="27"/>
      <c r="Q128" s="27"/>
      <c r="R128" s="31"/>
    </row>
    <row r="129" spans="1:18" ht="15" customHeight="1">
      <c r="A129" s="24"/>
      <c r="B129" s="23" t="s">
        <v>85</v>
      </c>
      <c r="C129" s="24" t="s">
        <v>18</v>
      </c>
      <c r="D129" s="23"/>
      <c r="E129" s="23" t="s">
        <v>301</v>
      </c>
      <c r="F129" s="23" t="s">
        <v>337</v>
      </c>
      <c r="G129" s="23" t="s">
        <v>131</v>
      </c>
      <c r="H129" s="25">
        <v>16</v>
      </c>
      <c r="I129" s="1"/>
      <c r="J129" s="26"/>
      <c r="K129" s="27">
        <f t="shared" si="3"/>
        <v>0</v>
      </c>
      <c r="L129" s="27"/>
      <c r="M129" s="27"/>
      <c r="N129" s="1">
        <v>5</v>
      </c>
      <c r="O129" s="27">
        <f t="shared" si="4"/>
        <v>0</v>
      </c>
      <c r="P129" s="27"/>
      <c r="Q129" s="27"/>
      <c r="R129" s="31"/>
    </row>
    <row r="130" spans="1:18" ht="15" customHeight="1">
      <c r="A130" s="24">
        <v>65</v>
      </c>
      <c r="B130" s="23" t="s">
        <v>86</v>
      </c>
      <c r="C130" s="24" t="s">
        <v>18</v>
      </c>
      <c r="D130" s="23"/>
      <c r="E130" s="23" t="s">
        <v>77</v>
      </c>
      <c r="F130" s="23" t="s">
        <v>295</v>
      </c>
      <c r="G130" s="23" t="s">
        <v>142</v>
      </c>
      <c r="H130" s="25">
        <v>4</v>
      </c>
      <c r="I130" s="1"/>
      <c r="J130" s="26"/>
      <c r="K130" s="27">
        <f t="shared" si="3"/>
        <v>0</v>
      </c>
      <c r="L130" s="27"/>
      <c r="M130" s="27"/>
      <c r="N130" s="1">
        <v>3</v>
      </c>
      <c r="O130" s="27">
        <f t="shared" si="4"/>
        <v>0</v>
      </c>
      <c r="P130" s="27"/>
      <c r="Q130" s="27"/>
      <c r="R130" s="31"/>
    </row>
    <row r="131" spans="1:18" ht="15" customHeight="1">
      <c r="A131" s="24"/>
      <c r="B131" s="23" t="s">
        <v>86</v>
      </c>
      <c r="C131" s="24" t="s">
        <v>18</v>
      </c>
      <c r="D131" s="23"/>
      <c r="E131" s="23" t="s">
        <v>301</v>
      </c>
      <c r="F131" s="23" t="s">
        <v>338</v>
      </c>
      <c r="G131" s="23" t="s">
        <v>131</v>
      </c>
      <c r="H131" s="25">
        <v>1</v>
      </c>
      <c r="I131" s="1"/>
      <c r="J131" s="26"/>
      <c r="K131" s="27">
        <f t="shared" si="3"/>
        <v>0</v>
      </c>
      <c r="L131" s="27"/>
      <c r="M131" s="27"/>
      <c r="N131" s="1"/>
      <c r="O131" s="27">
        <f t="shared" si="4"/>
        <v>0</v>
      </c>
      <c r="P131" s="27"/>
      <c r="Q131" s="27"/>
      <c r="R131" s="31"/>
    </row>
    <row r="132" spans="1:18" ht="28.9" customHeight="1">
      <c r="A132" s="29">
        <v>66</v>
      </c>
      <c r="B132" s="30" t="s">
        <v>87</v>
      </c>
      <c r="C132" s="29" t="s">
        <v>52</v>
      </c>
      <c r="D132" s="30" t="s">
        <v>88</v>
      </c>
      <c r="E132" s="30" t="s">
        <v>19</v>
      </c>
      <c r="F132" s="30" t="s">
        <v>292</v>
      </c>
      <c r="G132" s="30" t="s">
        <v>142</v>
      </c>
      <c r="H132" s="25">
        <v>0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31"/>
    </row>
    <row r="133" spans="1:18" ht="29.25" customHeight="1">
      <c r="A133" s="29"/>
      <c r="B133" s="30" t="s">
        <v>87</v>
      </c>
      <c r="C133" s="29" t="s">
        <v>52</v>
      </c>
      <c r="D133" s="30" t="s">
        <v>88</v>
      </c>
      <c r="E133" s="30" t="s">
        <v>19</v>
      </c>
      <c r="F133" s="30" t="s">
        <v>123</v>
      </c>
      <c r="G133" s="30" t="s">
        <v>122</v>
      </c>
      <c r="H133" s="25">
        <v>4</v>
      </c>
      <c r="I133" s="1"/>
      <c r="J133" s="26"/>
      <c r="K133" s="27">
        <f t="shared" si="3"/>
        <v>0</v>
      </c>
      <c r="L133" s="27"/>
      <c r="M133" s="27"/>
      <c r="N133" s="1">
        <v>1</v>
      </c>
      <c r="O133" s="27">
        <f t="shared" si="4"/>
        <v>0</v>
      </c>
      <c r="P133" s="27"/>
      <c r="Q133" s="27"/>
      <c r="R133" s="31"/>
    </row>
    <row r="134" spans="1:18" ht="26.25" customHeight="1">
      <c r="A134" s="24">
        <v>67</v>
      </c>
      <c r="B134" s="23" t="s">
        <v>89</v>
      </c>
      <c r="C134" s="24" t="s">
        <v>18</v>
      </c>
      <c r="D134" s="23"/>
      <c r="E134" s="23" t="s">
        <v>19</v>
      </c>
      <c r="F134" s="23" t="s">
        <v>292</v>
      </c>
      <c r="G134" s="23" t="s">
        <v>142</v>
      </c>
      <c r="H134" s="25">
        <v>2</v>
      </c>
      <c r="I134" s="1"/>
      <c r="J134" s="26"/>
      <c r="K134" s="27">
        <f t="shared" si="3"/>
        <v>0</v>
      </c>
      <c r="L134" s="27"/>
      <c r="M134" s="27"/>
      <c r="N134" s="1">
        <v>3</v>
      </c>
      <c r="O134" s="27">
        <f t="shared" si="4"/>
        <v>0</v>
      </c>
      <c r="P134" s="27"/>
      <c r="Q134" s="27"/>
      <c r="R134" s="31"/>
    </row>
    <row r="135" spans="1:18" ht="15" customHeight="1">
      <c r="A135" s="24"/>
      <c r="B135" s="23" t="s">
        <v>89</v>
      </c>
      <c r="C135" s="24" t="s">
        <v>18</v>
      </c>
      <c r="D135" s="23"/>
      <c r="E135" s="23" t="s">
        <v>19</v>
      </c>
      <c r="F135" s="23" t="s">
        <v>120</v>
      </c>
      <c r="G135" s="23" t="s">
        <v>122</v>
      </c>
      <c r="H135" s="25">
        <v>1</v>
      </c>
      <c r="I135" s="1"/>
      <c r="J135" s="26"/>
      <c r="K135" s="27">
        <f t="shared" si="3"/>
        <v>0</v>
      </c>
      <c r="L135" s="27"/>
      <c r="M135" s="27"/>
      <c r="N135" s="1">
        <v>1</v>
      </c>
      <c r="O135" s="27">
        <f t="shared" si="4"/>
        <v>0</v>
      </c>
      <c r="P135" s="27"/>
      <c r="Q135" s="27"/>
      <c r="R135" s="31"/>
    </row>
    <row r="136" spans="1:18" ht="15" customHeight="1">
      <c r="A136" s="24">
        <v>68</v>
      </c>
      <c r="B136" s="23" t="s">
        <v>90</v>
      </c>
      <c r="C136" s="24" t="s">
        <v>18</v>
      </c>
      <c r="D136" s="23"/>
      <c r="E136" s="23" t="s">
        <v>19</v>
      </c>
      <c r="F136" s="23" t="s">
        <v>292</v>
      </c>
      <c r="G136" s="23" t="s">
        <v>142</v>
      </c>
      <c r="H136" s="25">
        <v>2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0</v>
      </c>
      <c r="P136" s="27"/>
      <c r="Q136" s="27"/>
      <c r="R136" s="31"/>
    </row>
    <row r="137" spans="1:18" ht="15" customHeight="1">
      <c r="A137" s="24">
        <v>69</v>
      </c>
      <c r="B137" s="23" t="s">
        <v>91</v>
      </c>
      <c r="C137" s="24" t="s">
        <v>18</v>
      </c>
      <c r="D137" s="23"/>
      <c r="E137" s="23" t="s">
        <v>92</v>
      </c>
      <c r="F137" s="23" t="s">
        <v>292</v>
      </c>
      <c r="G137" s="23" t="s">
        <v>142</v>
      </c>
      <c r="H137" s="25">
        <v>0</v>
      </c>
      <c r="I137" s="1"/>
      <c r="J137" s="26"/>
      <c r="K137" s="27">
        <f t="shared" si="3"/>
        <v>0</v>
      </c>
      <c r="L137" s="27"/>
      <c r="M137" s="27"/>
      <c r="N137" s="1">
        <v>11</v>
      </c>
      <c r="O137" s="27">
        <f t="shared" si="4"/>
        <v>0</v>
      </c>
      <c r="P137" s="27"/>
      <c r="Q137" s="27"/>
      <c r="R137" s="31"/>
    </row>
    <row r="138" spans="1:18" ht="15" customHeight="1">
      <c r="A138" s="24"/>
      <c r="B138" s="23" t="s">
        <v>91</v>
      </c>
      <c r="C138" s="24" t="s">
        <v>18</v>
      </c>
      <c r="D138" s="23"/>
      <c r="E138" s="23" t="s">
        <v>92</v>
      </c>
      <c r="F138" s="23" t="s">
        <v>123</v>
      </c>
      <c r="G138" s="23" t="s">
        <v>136</v>
      </c>
      <c r="H138" s="25">
        <v>0</v>
      </c>
      <c r="I138" s="2"/>
      <c r="J138" s="26"/>
      <c r="K138" s="27">
        <f t="shared" si="3"/>
        <v>0</v>
      </c>
      <c r="L138" s="27"/>
      <c r="M138" s="27"/>
      <c r="N138" s="2">
        <v>2</v>
      </c>
      <c r="O138" s="27">
        <f t="shared" si="4"/>
        <v>0</v>
      </c>
      <c r="P138" s="27"/>
      <c r="Q138" s="27"/>
      <c r="R138" s="31"/>
    </row>
    <row r="139" spans="1:18" ht="15" customHeight="1">
      <c r="A139" s="24">
        <v>70</v>
      </c>
      <c r="B139" s="23" t="s">
        <v>93</v>
      </c>
      <c r="C139" s="24" t="s">
        <v>18</v>
      </c>
      <c r="D139" s="23"/>
      <c r="E139" s="23" t="s">
        <v>19</v>
      </c>
      <c r="F139" s="23" t="s">
        <v>123</v>
      </c>
      <c r="G139" s="23" t="s">
        <v>142</v>
      </c>
      <c r="H139" s="25">
        <v>0</v>
      </c>
      <c r="I139" s="2"/>
      <c r="J139" s="26"/>
      <c r="K139" s="27">
        <f t="shared" si="3"/>
        <v>0</v>
      </c>
      <c r="L139" s="27"/>
      <c r="M139" s="27"/>
      <c r="N139" s="2">
        <v>1</v>
      </c>
      <c r="O139" s="27">
        <f t="shared" si="4"/>
        <v>0</v>
      </c>
      <c r="P139" s="27"/>
      <c r="Q139" s="27"/>
      <c r="R139" s="31"/>
    </row>
    <row r="140" spans="1:18" ht="15" customHeight="1">
      <c r="A140" s="24"/>
      <c r="B140" s="23" t="s">
        <v>93</v>
      </c>
      <c r="C140" s="24" t="s">
        <v>18</v>
      </c>
      <c r="D140" s="23"/>
      <c r="E140" s="23" t="s">
        <v>19</v>
      </c>
      <c r="F140" s="23" t="s">
        <v>120</v>
      </c>
      <c r="G140" s="23" t="s">
        <v>131</v>
      </c>
      <c r="H140" s="25">
        <v>0</v>
      </c>
      <c r="I140" s="1"/>
      <c r="J140" s="26"/>
      <c r="K140" s="27">
        <f t="shared" si="3"/>
        <v>0</v>
      </c>
      <c r="L140" s="27"/>
      <c r="M140" s="27"/>
      <c r="N140" s="1"/>
      <c r="O140" s="27">
        <f t="shared" si="4"/>
        <v>0</v>
      </c>
      <c r="P140" s="27"/>
      <c r="Q140" s="27"/>
      <c r="R140" s="31"/>
    </row>
    <row r="141" spans="1:18" ht="15" customHeight="1">
      <c r="A141" s="24"/>
      <c r="B141" s="23" t="s">
        <v>93</v>
      </c>
      <c r="C141" s="24" t="s">
        <v>18</v>
      </c>
      <c r="D141" s="23"/>
      <c r="E141" s="23"/>
      <c r="F141" s="23" t="s">
        <v>268</v>
      </c>
      <c r="G141" s="23" t="s">
        <v>122</v>
      </c>
      <c r="H141" s="25">
        <v>5</v>
      </c>
      <c r="I141" s="1"/>
      <c r="J141" s="26"/>
      <c r="K141" s="27">
        <f t="shared" si="3"/>
        <v>0</v>
      </c>
      <c r="L141" s="27"/>
      <c r="M141" s="27"/>
      <c r="N141" s="1"/>
      <c r="O141" s="27">
        <f t="shared" si="4"/>
        <v>0</v>
      </c>
      <c r="P141" s="27"/>
      <c r="Q141" s="27"/>
      <c r="R141" s="31"/>
    </row>
    <row r="142" spans="1:18" ht="15" customHeight="1">
      <c r="A142" s="24">
        <v>71</v>
      </c>
      <c r="B142" s="23" t="s">
        <v>281</v>
      </c>
      <c r="C142" s="24" t="s">
        <v>18</v>
      </c>
      <c r="D142" s="23"/>
      <c r="E142" s="23" t="s">
        <v>19</v>
      </c>
      <c r="F142" s="23" t="s">
        <v>123</v>
      </c>
      <c r="G142" s="23" t="s">
        <v>142</v>
      </c>
      <c r="H142" s="25">
        <v>6</v>
      </c>
      <c r="I142" s="1">
        <v>4</v>
      </c>
      <c r="J142" s="26">
        <v>4</v>
      </c>
      <c r="K142" s="27">
        <f t="shared" si="3"/>
        <v>0</v>
      </c>
      <c r="L142" s="27"/>
      <c r="M142" s="27"/>
      <c r="N142" s="1">
        <v>1</v>
      </c>
      <c r="O142" s="27">
        <f t="shared" si="4"/>
        <v>0</v>
      </c>
      <c r="P142" s="27"/>
      <c r="Q142" s="27"/>
      <c r="R142" s="31"/>
    </row>
    <row r="143" spans="1:18" ht="15" customHeight="1">
      <c r="A143" s="24"/>
      <c r="B143" s="23" t="s">
        <v>281</v>
      </c>
      <c r="C143" s="24" t="s">
        <v>18</v>
      </c>
      <c r="D143" s="23"/>
      <c r="E143" s="23" t="s">
        <v>19</v>
      </c>
      <c r="F143" s="23" t="s">
        <v>285</v>
      </c>
      <c r="G143" s="23" t="s">
        <v>131</v>
      </c>
      <c r="H143" s="25">
        <v>0</v>
      </c>
      <c r="I143" s="1"/>
      <c r="J143" s="26"/>
      <c r="K143" s="27">
        <f t="shared" si="3"/>
        <v>0</v>
      </c>
      <c r="L143" s="27"/>
      <c r="M143" s="27"/>
      <c r="N143" s="1">
        <v>1</v>
      </c>
      <c r="O143" s="27">
        <f t="shared" si="4"/>
        <v>0</v>
      </c>
      <c r="P143" s="27"/>
      <c r="Q143" s="27"/>
      <c r="R143" s="31"/>
    </row>
    <row r="144" spans="1:18" ht="15" customHeight="1">
      <c r="A144" s="24"/>
      <c r="B144" s="23" t="s">
        <v>281</v>
      </c>
      <c r="C144" s="24" t="s">
        <v>18</v>
      </c>
      <c r="D144" s="23"/>
      <c r="E144" s="23" t="s">
        <v>19</v>
      </c>
      <c r="F144" s="23" t="s">
        <v>349</v>
      </c>
      <c r="G144" s="23" t="s">
        <v>122</v>
      </c>
      <c r="H144" s="25">
        <v>7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31"/>
    </row>
    <row r="145" spans="1:18" ht="15" customHeight="1">
      <c r="A145" s="24">
        <v>72</v>
      </c>
      <c r="B145" s="23" t="s">
        <v>94</v>
      </c>
      <c r="C145" s="24" t="s">
        <v>18</v>
      </c>
      <c r="D145" s="23"/>
      <c r="E145" s="23" t="s">
        <v>95</v>
      </c>
      <c r="F145" s="23" t="s">
        <v>292</v>
      </c>
      <c r="G145" s="23" t="s">
        <v>142</v>
      </c>
      <c r="H145" s="25">
        <v>11</v>
      </c>
      <c r="I145" s="1">
        <v>4</v>
      </c>
      <c r="J145" s="26">
        <v>4</v>
      </c>
      <c r="K145" s="27">
        <f t="shared" si="3"/>
        <v>0</v>
      </c>
      <c r="L145" s="27"/>
      <c r="M145" s="27"/>
      <c r="N145" s="1">
        <v>6</v>
      </c>
      <c r="O145" s="27">
        <f t="shared" si="4"/>
        <v>0</v>
      </c>
      <c r="P145" s="27"/>
      <c r="Q145" s="27"/>
      <c r="R145" s="31"/>
    </row>
    <row r="146" spans="1:18" ht="15" customHeight="1">
      <c r="A146" s="24"/>
      <c r="B146" s="23" t="s">
        <v>128</v>
      </c>
      <c r="C146" s="24" t="s">
        <v>18</v>
      </c>
      <c r="D146" s="23"/>
      <c r="E146" s="23" t="s">
        <v>95</v>
      </c>
      <c r="F146" s="23" t="s">
        <v>319</v>
      </c>
      <c r="G146" s="23" t="s">
        <v>124</v>
      </c>
      <c r="H146" s="25">
        <v>1</v>
      </c>
      <c r="I146" s="1"/>
      <c r="J146" s="26"/>
      <c r="K146" s="27">
        <f t="shared" si="3"/>
        <v>0</v>
      </c>
      <c r="L146" s="27"/>
      <c r="M146" s="27"/>
      <c r="N146" s="1">
        <v>2</v>
      </c>
      <c r="O146" s="27">
        <f t="shared" si="4"/>
        <v>2753.33</v>
      </c>
      <c r="P146" s="27">
        <v>2753.33</v>
      </c>
      <c r="Q146" s="27"/>
      <c r="R146" s="31"/>
    </row>
    <row r="147" spans="1:18" ht="15" customHeight="1">
      <c r="A147" s="24"/>
      <c r="B147" s="23" t="s">
        <v>128</v>
      </c>
      <c r="C147" s="24" t="s">
        <v>18</v>
      </c>
      <c r="D147" s="23"/>
      <c r="E147" s="23" t="s">
        <v>95</v>
      </c>
      <c r="F147" s="23" t="s">
        <v>123</v>
      </c>
      <c r="G147" s="23" t="s">
        <v>131</v>
      </c>
      <c r="H147" s="25">
        <v>0</v>
      </c>
      <c r="I147" s="2"/>
      <c r="J147" s="26"/>
      <c r="K147" s="27">
        <f t="shared" si="3"/>
        <v>0</v>
      </c>
      <c r="L147" s="27"/>
      <c r="M147" s="27"/>
      <c r="N147" s="2"/>
      <c r="O147" s="27">
        <f t="shared" si="4"/>
        <v>0</v>
      </c>
      <c r="P147" s="27"/>
      <c r="Q147" s="27"/>
      <c r="R147" s="31"/>
    </row>
    <row r="148" spans="1:18" ht="15" customHeight="1">
      <c r="A148" s="24">
        <v>73</v>
      </c>
      <c r="B148" s="23" t="s">
        <v>96</v>
      </c>
      <c r="C148" s="24" t="s">
        <v>18</v>
      </c>
      <c r="D148" s="23"/>
      <c r="E148" s="23" t="s">
        <v>19</v>
      </c>
      <c r="F148" s="23" t="s">
        <v>120</v>
      </c>
      <c r="G148" s="23" t="s">
        <v>142</v>
      </c>
      <c r="H148" s="25">
        <v>4</v>
      </c>
      <c r="I148" s="1"/>
      <c r="J148" s="26"/>
      <c r="K148" s="27">
        <f t="shared" si="3"/>
        <v>0</v>
      </c>
      <c r="L148" s="27"/>
      <c r="M148" s="27"/>
      <c r="N148" s="1">
        <v>1</v>
      </c>
      <c r="O148" s="27">
        <f t="shared" si="4"/>
        <v>0</v>
      </c>
      <c r="P148" s="27"/>
      <c r="Q148" s="27"/>
      <c r="R148" s="31"/>
    </row>
    <row r="149" spans="1:18" ht="15" customHeight="1">
      <c r="A149" s="24"/>
      <c r="B149" s="23" t="s">
        <v>96</v>
      </c>
      <c r="C149" s="24" t="s">
        <v>18</v>
      </c>
      <c r="D149" s="23"/>
      <c r="E149" s="23" t="s">
        <v>19</v>
      </c>
      <c r="F149" s="23" t="s">
        <v>292</v>
      </c>
      <c r="G149" s="23" t="s">
        <v>131</v>
      </c>
      <c r="H149" s="25">
        <v>0</v>
      </c>
      <c r="I149" s="1"/>
      <c r="J149" s="26"/>
      <c r="K149" s="27">
        <f t="shared" si="3"/>
        <v>0</v>
      </c>
      <c r="L149" s="27"/>
      <c r="M149" s="27"/>
      <c r="N149" s="1">
        <v>1</v>
      </c>
      <c r="O149" s="27">
        <f t="shared" si="4"/>
        <v>0</v>
      </c>
      <c r="P149" s="27"/>
      <c r="Q149" s="27"/>
      <c r="R149" s="31"/>
    </row>
    <row r="150" spans="1:18" ht="15" customHeight="1">
      <c r="A150" s="24"/>
      <c r="B150" s="23" t="s">
        <v>96</v>
      </c>
      <c r="C150" s="24" t="s">
        <v>18</v>
      </c>
      <c r="D150" s="23"/>
      <c r="E150" s="23" t="s">
        <v>19</v>
      </c>
      <c r="F150" s="23" t="s">
        <v>367</v>
      </c>
      <c r="G150" s="23" t="s">
        <v>122</v>
      </c>
      <c r="H150" s="25">
        <v>5</v>
      </c>
      <c r="I150" s="1"/>
      <c r="J150" s="26"/>
      <c r="K150" s="27">
        <f t="shared" si="3"/>
        <v>0</v>
      </c>
      <c r="L150" s="27"/>
      <c r="M150" s="27"/>
      <c r="N150" s="1">
        <v>1</v>
      </c>
      <c r="O150" s="27">
        <f t="shared" si="4"/>
        <v>0</v>
      </c>
      <c r="P150" s="27"/>
      <c r="Q150" s="27"/>
      <c r="R150" s="31"/>
    </row>
    <row r="151" spans="1:18" ht="15" customHeight="1">
      <c r="A151" s="24"/>
      <c r="B151" s="23" t="s">
        <v>96</v>
      </c>
      <c r="C151" s="24" t="s">
        <v>18</v>
      </c>
      <c r="D151" s="23"/>
      <c r="E151" s="22" t="s">
        <v>19</v>
      </c>
      <c r="F151" s="23" t="s">
        <v>292</v>
      </c>
      <c r="G151" s="22" t="s">
        <v>136</v>
      </c>
      <c r="H151" s="45">
        <v>1</v>
      </c>
      <c r="I151" s="1"/>
      <c r="J151" s="26"/>
      <c r="K151" s="27">
        <f t="shared" ref="K151:K194" si="6">L151+M151</f>
        <v>0</v>
      </c>
      <c r="L151" s="27"/>
      <c r="M151" s="27"/>
      <c r="N151" s="1"/>
      <c r="O151" s="27">
        <f t="shared" si="4"/>
        <v>0</v>
      </c>
      <c r="P151" s="27"/>
      <c r="Q151" s="27"/>
      <c r="R151" s="31"/>
    </row>
    <row r="152" spans="1:18" ht="15" customHeight="1">
      <c r="A152" s="24">
        <v>74</v>
      </c>
      <c r="B152" s="23" t="s">
        <v>97</v>
      </c>
      <c r="C152" s="24" t="s">
        <v>18</v>
      </c>
      <c r="D152" s="23"/>
      <c r="E152" s="23" t="s">
        <v>19</v>
      </c>
      <c r="F152" s="23" t="s">
        <v>120</v>
      </c>
      <c r="G152" s="23" t="s">
        <v>142</v>
      </c>
      <c r="H152" s="25">
        <v>3</v>
      </c>
      <c r="I152" s="1"/>
      <c r="J152" s="26"/>
      <c r="K152" s="27">
        <f t="shared" si="6"/>
        <v>0</v>
      </c>
      <c r="L152" s="27"/>
      <c r="M152" s="27"/>
      <c r="N152" s="1"/>
      <c r="O152" s="27">
        <f t="shared" si="4"/>
        <v>0</v>
      </c>
      <c r="P152" s="27"/>
      <c r="Q152" s="27"/>
      <c r="R152" s="31"/>
    </row>
    <row r="153" spans="1:18" ht="15" customHeight="1">
      <c r="A153" s="24">
        <v>75</v>
      </c>
      <c r="B153" s="23" t="s">
        <v>98</v>
      </c>
      <c r="C153" s="24" t="s">
        <v>18</v>
      </c>
      <c r="D153" s="23"/>
      <c r="E153" s="23" t="s">
        <v>19</v>
      </c>
      <c r="F153" s="23" t="s">
        <v>120</v>
      </c>
      <c r="G153" s="23" t="s">
        <v>142</v>
      </c>
      <c r="H153" s="25">
        <v>6</v>
      </c>
      <c r="I153" s="1">
        <v>4</v>
      </c>
      <c r="J153" s="26">
        <v>4</v>
      </c>
      <c r="K153" s="27">
        <f t="shared" si="6"/>
        <v>0</v>
      </c>
      <c r="L153" s="27"/>
      <c r="M153" s="27"/>
      <c r="N153" s="1">
        <v>5</v>
      </c>
      <c r="O153" s="27">
        <f t="shared" si="4"/>
        <v>0</v>
      </c>
      <c r="P153" s="27"/>
      <c r="Q153" s="27"/>
      <c r="R153" s="31"/>
    </row>
    <row r="154" spans="1:18" ht="15" customHeight="1">
      <c r="A154" s="24">
        <v>76</v>
      </c>
      <c r="B154" s="23" t="s">
        <v>99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0</v>
      </c>
      <c r="I154" s="1"/>
      <c r="J154" s="26"/>
      <c r="K154" s="27">
        <f t="shared" si="6"/>
        <v>0</v>
      </c>
      <c r="L154" s="27"/>
      <c r="M154" s="27"/>
      <c r="N154" s="1"/>
      <c r="O154" s="27">
        <f t="shared" si="4"/>
        <v>0</v>
      </c>
      <c r="P154" s="27"/>
      <c r="Q154" s="27"/>
      <c r="R154" s="31"/>
    </row>
    <row r="155" spans="1:18" ht="24.6" customHeight="1">
      <c r="A155" s="29">
        <v>77</v>
      </c>
      <c r="B155" s="30" t="s">
        <v>100</v>
      </c>
      <c r="C155" s="29" t="s">
        <v>30</v>
      </c>
      <c r="D155" s="30" t="s">
        <v>101</v>
      </c>
      <c r="E155" s="30" t="s">
        <v>19</v>
      </c>
      <c r="F155" s="23" t="s">
        <v>120</v>
      </c>
      <c r="G155" s="30" t="s">
        <v>142</v>
      </c>
      <c r="H155" s="25">
        <v>0</v>
      </c>
      <c r="I155" s="1"/>
      <c r="J155" s="26"/>
      <c r="K155" s="27">
        <f t="shared" si="6"/>
        <v>0</v>
      </c>
      <c r="L155" s="27"/>
      <c r="M155" s="27"/>
      <c r="N155" s="1"/>
      <c r="O155" s="27">
        <f t="shared" si="4"/>
        <v>0</v>
      </c>
      <c r="P155" s="27"/>
      <c r="Q155" s="27"/>
      <c r="R155" s="31"/>
    </row>
    <row r="156" spans="1:18" ht="29.25" customHeight="1">
      <c r="A156" s="29"/>
      <c r="B156" s="30" t="s">
        <v>100</v>
      </c>
      <c r="C156" s="29" t="s">
        <v>30</v>
      </c>
      <c r="D156" s="30" t="s">
        <v>101</v>
      </c>
      <c r="E156" s="30" t="s">
        <v>19</v>
      </c>
      <c r="F156" s="30" t="s">
        <v>292</v>
      </c>
      <c r="G156" s="30" t="s">
        <v>122</v>
      </c>
      <c r="H156" s="25">
        <v>0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31"/>
    </row>
    <row r="157" spans="1:18" ht="26.25" customHeight="1">
      <c r="A157" s="46">
        <v>78</v>
      </c>
      <c r="B157" s="60" t="s">
        <v>144</v>
      </c>
      <c r="C157" s="46" t="s">
        <v>18</v>
      </c>
      <c r="D157" s="60"/>
      <c r="E157" s="60" t="s">
        <v>104</v>
      </c>
      <c r="F157" s="60" t="s">
        <v>120</v>
      </c>
      <c r="G157" s="60" t="s">
        <v>142</v>
      </c>
      <c r="H157" s="61">
        <v>0</v>
      </c>
      <c r="I157" s="1"/>
      <c r="J157" s="26"/>
      <c r="K157" s="27">
        <f t="shared" si="6"/>
        <v>0</v>
      </c>
      <c r="L157" s="63"/>
      <c r="M157" s="63"/>
      <c r="N157" s="1"/>
      <c r="O157" s="63">
        <f t="shared" si="4"/>
        <v>0</v>
      </c>
      <c r="P157" s="63"/>
      <c r="Q157" s="63"/>
      <c r="R157" s="31"/>
    </row>
    <row r="158" spans="1:18" ht="15.75" customHeight="1">
      <c r="A158" s="24">
        <v>79</v>
      </c>
      <c r="B158" s="23" t="s">
        <v>102</v>
      </c>
      <c r="C158" s="24" t="s">
        <v>18</v>
      </c>
      <c r="D158" s="23"/>
      <c r="E158" s="23" t="s">
        <v>19</v>
      </c>
      <c r="F158" s="60" t="s">
        <v>120</v>
      </c>
      <c r="G158" s="23" t="s">
        <v>142</v>
      </c>
      <c r="H158" s="25">
        <v>0</v>
      </c>
      <c r="I158" s="1"/>
      <c r="J158" s="26"/>
      <c r="K158" s="27">
        <f t="shared" si="6"/>
        <v>0</v>
      </c>
      <c r="L158" s="27"/>
      <c r="M158" s="27"/>
      <c r="N158" s="1"/>
      <c r="O158" s="27">
        <f t="shared" si="4"/>
        <v>0</v>
      </c>
      <c r="P158" s="27"/>
      <c r="Q158" s="27"/>
      <c r="R158" s="31"/>
    </row>
    <row r="159" spans="1:18" ht="15" customHeight="1">
      <c r="A159" s="24">
        <v>80</v>
      </c>
      <c r="B159" s="23" t="s">
        <v>103</v>
      </c>
      <c r="C159" s="24" t="s">
        <v>18</v>
      </c>
      <c r="D159" s="23"/>
      <c r="E159" s="23" t="s">
        <v>19</v>
      </c>
      <c r="F159" s="60" t="s">
        <v>120</v>
      </c>
      <c r="G159" s="23" t="s">
        <v>142</v>
      </c>
      <c r="H159" s="25">
        <v>0</v>
      </c>
      <c r="I159" s="1"/>
      <c r="J159" s="26"/>
      <c r="K159" s="27">
        <f t="shared" si="6"/>
        <v>0</v>
      </c>
      <c r="L159" s="27"/>
      <c r="M159" s="27"/>
      <c r="N159" s="1">
        <v>1</v>
      </c>
      <c r="O159" s="27">
        <f t="shared" si="4"/>
        <v>0</v>
      </c>
      <c r="P159" s="27"/>
      <c r="Q159" s="27"/>
      <c r="R159" s="31"/>
    </row>
    <row r="160" spans="1:18" ht="15" customHeight="1">
      <c r="A160" s="24"/>
      <c r="B160" s="23" t="s">
        <v>103</v>
      </c>
      <c r="C160" s="24" t="s">
        <v>18</v>
      </c>
      <c r="D160" s="23"/>
      <c r="E160" s="23" t="s">
        <v>19</v>
      </c>
      <c r="F160" s="23" t="s">
        <v>298</v>
      </c>
      <c r="G160" s="23" t="s">
        <v>122</v>
      </c>
      <c r="H160" s="25">
        <v>3</v>
      </c>
      <c r="I160" s="1"/>
      <c r="J160" s="26"/>
      <c r="K160" s="27">
        <f t="shared" si="6"/>
        <v>0</v>
      </c>
      <c r="L160" s="27"/>
      <c r="M160" s="27"/>
      <c r="N160" s="1"/>
      <c r="O160" s="27">
        <f t="shared" si="4"/>
        <v>0</v>
      </c>
      <c r="P160" s="27"/>
      <c r="Q160" s="27"/>
      <c r="R160" s="31"/>
    </row>
    <row r="161" spans="1:18" ht="15" customHeight="1">
      <c r="A161" s="24">
        <v>81</v>
      </c>
      <c r="B161" s="23" t="s">
        <v>302</v>
      </c>
      <c r="C161" s="24" t="s">
        <v>18</v>
      </c>
      <c r="D161" s="23"/>
      <c r="E161" s="23" t="s">
        <v>19</v>
      </c>
      <c r="F161" s="23" t="s">
        <v>348</v>
      </c>
      <c r="G161" s="23" t="s">
        <v>122</v>
      </c>
      <c r="H161" s="25">
        <v>4</v>
      </c>
      <c r="I161" s="1"/>
      <c r="J161" s="26"/>
      <c r="K161" s="27">
        <f t="shared" si="6"/>
        <v>0</v>
      </c>
      <c r="L161" s="27"/>
      <c r="M161" s="27"/>
      <c r="N161" s="1"/>
      <c r="O161" s="27">
        <f t="shared" si="4"/>
        <v>0</v>
      </c>
      <c r="P161" s="27"/>
      <c r="Q161" s="27"/>
      <c r="R161" s="31"/>
    </row>
    <row r="162" spans="1:18" ht="15" customHeight="1">
      <c r="A162" s="24">
        <v>82</v>
      </c>
      <c r="B162" s="23" t="s">
        <v>328</v>
      </c>
      <c r="C162" s="24" t="s">
        <v>18</v>
      </c>
      <c r="D162" s="23"/>
      <c r="E162" s="23" t="s">
        <v>19</v>
      </c>
      <c r="F162" s="23" t="s">
        <v>347</v>
      </c>
      <c r="G162" s="23" t="s">
        <v>122</v>
      </c>
      <c r="H162" s="25">
        <v>0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31"/>
    </row>
    <row r="163" spans="1:18" ht="15" customHeight="1">
      <c r="A163" s="24">
        <v>83</v>
      </c>
      <c r="B163" s="23" t="s">
        <v>314</v>
      </c>
      <c r="C163" s="24" t="s">
        <v>18</v>
      </c>
      <c r="D163" s="23"/>
      <c r="E163" s="23" t="s">
        <v>19</v>
      </c>
      <c r="F163" s="23" t="s">
        <v>294</v>
      </c>
      <c r="G163" s="23" t="s">
        <v>142</v>
      </c>
      <c r="H163" s="25">
        <v>1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31"/>
    </row>
    <row r="164" spans="1:18" ht="15" customHeight="1">
      <c r="A164" s="24">
        <v>84</v>
      </c>
      <c r="B164" s="23" t="s">
        <v>330</v>
      </c>
      <c r="C164" s="24" t="s">
        <v>18</v>
      </c>
      <c r="D164" s="23"/>
      <c r="E164" s="23" t="s">
        <v>104</v>
      </c>
      <c r="F164" s="23" t="s">
        <v>341</v>
      </c>
      <c r="G164" s="23" t="s">
        <v>131</v>
      </c>
      <c r="H164" s="25">
        <v>3</v>
      </c>
      <c r="I164" s="1"/>
      <c r="J164" s="26"/>
      <c r="K164" s="27"/>
      <c r="L164" s="27"/>
      <c r="M164" s="27"/>
      <c r="N164" s="1"/>
      <c r="O164" s="27"/>
      <c r="P164" s="27"/>
      <c r="Q164" s="27"/>
      <c r="R164" s="31"/>
    </row>
    <row r="165" spans="1:18" ht="15" customHeight="1">
      <c r="A165" s="24"/>
      <c r="B165" s="23" t="s">
        <v>330</v>
      </c>
      <c r="C165" s="24" t="s">
        <v>18</v>
      </c>
      <c r="D165" s="23"/>
      <c r="E165" s="23" t="s">
        <v>19</v>
      </c>
      <c r="F165" s="23" t="s">
        <v>346</v>
      </c>
      <c r="G165" s="23" t="s">
        <v>122</v>
      </c>
      <c r="H165" s="25">
        <v>1</v>
      </c>
      <c r="I165" s="1"/>
      <c r="J165" s="26"/>
      <c r="K165" s="27">
        <f t="shared" si="6"/>
        <v>0</v>
      </c>
      <c r="L165" s="27"/>
      <c r="M165" s="27"/>
      <c r="N165" s="1"/>
      <c r="O165" s="27">
        <f t="shared" si="4"/>
        <v>0</v>
      </c>
      <c r="P165" s="27"/>
      <c r="Q165" s="27"/>
      <c r="R165" s="31"/>
    </row>
    <row r="166" spans="1:18" ht="24.75" customHeight="1">
      <c r="A166" s="29">
        <v>85</v>
      </c>
      <c r="B166" s="30" t="s">
        <v>105</v>
      </c>
      <c r="C166" s="29" t="s">
        <v>30</v>
      </c>
      <c r="D166" s="30" t="s">
        <v>106</v>
      </c>
      <c r="E166" s="30" t="s">
        <v>19</v>
      </c>
      <c r="F166" s="30" t="s">
        <v>123</v>
      </c>
      <c r="G166" s="30" t="s">
        <v>142</v>
      </c>
      <c r="H166" s="25">
        <v>7</v>
      </c>
      <c r="I166" s="1"/>
      <c r="J166" s="26"/>
      <c r="K166" s="27">
        <f t="shared" si="6"/>
        <v>0</v>
      </c>
      <c r="L166" s="27"/>
      <c r="M166" s="27"/>
      <c r="N166" s="1"/>
      <c r="O166" s="27">
        <f t="shared" si="4"/>
        <v>0</v>
      </c>
      <c r="P166" s="27"/>
      <c r="Q166" s="27"/>
      <c r="R166" s="31"/>
    </row>
    <row r="167" spans="1:18" ht="24.75" customHeight="1">
      <c r="A167" s="29">
        <v>86</v>
      </c>
      <c r="B167" s="30" t="s">
        <v>315</v>
      </c>
      <c r="C167" s="29" t="s">
        <v>18</v>
      </c>
      <c r="D167" s="30"/>
      <c r="E167" s="30" t="s">
        <v>19</v>
      </c>
      <c r="F167" s="30" t="s">
        <v>268</v>
      </c>
      <c r="G167" s="30" t="s">
        <v>142</v>
      </c>
      <c r="H167" s="25">
        <v>2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18" ht="24.75" customHeight="1">
      <c r="A168" s="29"/>
      <c r="B168" s="30" t="s">
        <v>315</v>
      </c>
      <c r="C168" s="29" t="s">
        <v>18</v>
      </c>
      <c r="D168" s="30"/>
      <c r="E168" s="30" t="s">
        <v>322</v>
      </c>
      <c r="F168" s="30" t="s">
        <v>323</v>
      </c>
      <c r="G168" s="30" t="s">
        <v>124</v>
      </c>
      <c r="H168" s="25">
        <v>0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0</v>
      </c>
      <c r="P168" s="27"/>
      <c r="Q168" s="27"/>
      <c r="R168" s="31"/>
    </row>
    <row r="169" spans="1:18" ht="38.450000000000003" customHeight="1">
      <c r="A169" s="29">
        <v>87</v>
      </c>
      <c r="B169" s="30" t="s">
        <v>265</v>
      </c>
      <c r="C169" s="29" t="s">
        <v>18</v>
      </c>
      <c r="D169" s="30"/>
      <c r="E169" s="30" t="s">
        <v>19</v>
      </c>
      <c r="F169" s="30" t="s">
        <v>123</v>
      </c>
      <c r="G169" s="30" t="s">
        <v>142</v>
      </c>
      <c r="H169" s="25">
        <v>0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0</v>
      </c>
      <c r="P169" s="27"/>
      <c r="Q169" s="27"/>
      <c r="R169" s="31"/>
    </row>
    <row r="170" spans="1:18" ht="38.450000000000003" customHeight="1">
      <c r="A170" s="24">
        <v>88</v>
      </c>
      <c r="B170" s="23" t="s">
        <v>107</v>
      </c>
      <c r="C170" s="24" t="s">
        <v>18</v>
      </c>
      <c r="D170" s="23"/>
      <c r="E170" s="23" t="s">
        <v>41</v>
      </c>
      <c r="F170" s="30" t="s">
        <v>123</v>
      </c>
      <c r="G170" s="23" t="s">
        <v>142</v>
      </c>
      <c r="H170" s="25">
        <v>1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18" ht="15.75" customHeight="1">
      <c r="A171" s="24"/>
      <c r="B171" s="23" t="s">
        <v>107</v>
      </c>
      <c r="C171" s="24" t="s">
        <v>18</v>
      </c>
      <c r="D171" s="23"/>
      <c r="E171" s="23" t="s">
        <v>41</v>
      </c>
      <c r="F171" s="23" t="s">
        <v>295</v>
      </c>
      <c r="G171" s="23" t="s">
        <v>136</v>
      </c>
      <c r="H171" s="25">
        <v>7</v>
      </c>
      <c r="I171" s="2"/>
      <c r="J171" s="26"/>
      <c r="K171" s="27">
        <f t="shared" si="6"/>
        <v>0</v>
      </c>
      <c r="L171" s="27"/>
      <c r="M171" s="27"/>
      <c r="N171" s="2">
        <v>8</v>
      </c>
      <c r="O171" s="27">
        <f t="shared" si="4"/>
        <v>0</v>
      </c>
      <c r="P171" s="27"/>
      <c r="Q171" s="27"/>
      <c r="R171" s="31"/>
    </row>
    <row r="172" spans="1:18" ht="16.5" customHeight="1">
      <c r="A172" s="24">
        <v>89</v>
      </c>
      <c r="B172" s="23" t="s">
        <v>108</v>
      </c>
      <c r="C172" s="24" t="s">
        <v>18</v>
      </c>
      <c r="D172" s="23"/>
      <c r="E172" s="23" t="s">
        <v>19</v>
      </c>
      <c r="F172" s="23" t="s">
        <v>292</v>
      </c>
      <c r="G172" s="23" t="s">
        <v>142</v>
      </c>
      <c r="H172" s="25">
        <v>12</v>
      </c>
      <c r="I172" s="1">
        <v>9</v>
      </c>
      <c r="J172" s="26">
        <v>9</v>
      </c>
      <c r="K172" s="27">
        <f t="shared" si="6"/>
        <v>0</v>
      </c>
      <c r="L172" s="27"/>
      <c r="M172" s="27"/>
      <c r="N172" s="1">
        <v>3</v>
      </c>
      <c r="O172" s="27">
        <f t="shared" si="4"/>
        <v>0</v>
      </c>
      <c r="P172" s="27"/>
      <c r="Q172" s="27"/>
      <c r="R172" s="31"/>
    </row>
    <row r="173" spans="1:18" ht="16.5" customHeight="1">
      <c r="A173" s="24"/>
      <c r="B173" s="23" t="s">
        <v>108</v>
      </c>
      <c r="C173" s="24" t="s">
        <v>18</v>
      </c>
      <c r="D173" s="23"/>
      <c r="E173" s="23" t="s">
        <v>19</v>
      </c>
      <c r="F173" s="23" t="s">
        <v>345</v>
      </c>
      <c r="G173" s="23" t="s">
        <v>122</v>
      </c>
      <c r="H173" s="25">
        <v>3</v>
      </c>
      <c r="I173" s="1"/>
      <c r="J173" s="26"/>
      <c r="K173" s="27">
        <f t="shared" si="6"/>
        <v>0</v>
      </c>
      <c r="L173" s="27"/>
      <c r="M173" s="27"/>
      <c r="N173" s="1">
        <v>3</v>
      </c>
      <c r="O173" s="27">
        <f t="shared" si="4"/>
        <v>0</v>
      </c>
      <c r="P173" s="27"/>
      <c r="Q173" s="27"/>
      <c r="R173" s="31"/>
    </row>
    <row r="174" spans="1:18" ht="16.5" customHeight="1">
      <c r="A174" s="24">
        <v>90</v>
      </c>
      <c r="B174" s="23" t="s">
        <v>146</v>
      </c>
      <c r="C174" s="24" t="s">
        <v>18</v>
      </c>
      <c r="D174" s="23"/>
      <c r="E174" s="23" t="s">
        <v>104</v>
      </c>
      <c r="F174" s="23" t="s">
        <v>291</v>
      </c>
      <c r="G174" s="23" t="s">
        <v>142</v>
      </c>
      <c r="H174" s="25">
        <v>0</v>
      </c>
      <c r="I174" s="1"/>
      <c r="J174" s="26"/>
      <c r="K174" s="27">
        <f t="shared" si="6"/>
        <v>0</v>
      </c>
      <c r="L174" s="27"/>
      <c r="M174" s="27"/>
      <c r="N174" s="1">
        <v>1</v>
      </c>
      <c r="O174" s="27">
        <f t="shared" si="4"/>
        <v>0</v>
      </c>
      <c r="P174" s="27"/>
      <c r="Q174" s="27"/>
      <c r="R174" s="31"/>
    </row>
    <row r="175" spans="1:18" ht="23.45" customHeight="1">
      <c r="A175" s="29">
        <v>91</v>
      </c>
      <c r="B175" s="30" t="s">
        <v>109</v>
      </c>
      <c r="C175" s="29" t="s">
        <v>52</v>
      </c>
      <c r="D175" s="30" t="s">
        <v>110</v>
      </c>
      <c r="E175" s="30" t="s">
        <v>19</v>
      </c>
      <c r="F175" s="30" t="s">
        <v>123</v>
      </c>
      <c r="G175" s="30" t="s">
        <v>142</v>
      </c>
      <c r="H175" s="25">
        <v>19</v>
      </c>
      <c r="I175" s="1">
        <v>12</v>
      </c>
      <c r="J175" s="26">
        <v>12</v>
      </c>
      <c r="K175" s="27">
        <f t="shared" si="6"/>
        <v>0</v>
      </c>
      <c r="L175" s="27"/>
      <c r="M175" s="27"/>
      <c r="N175" s="1">
        <v>11</v>
      </c>
      <c r="O175" s="27">
        <f t="shared" si="4"/>
        <v>0</v>
      </c>
      <c r="P175" s="27"/>
      <c r="Q175" s="27"/>
      <c r="R175" s="31"/>
    </row>
    <row r="176" spans="1:18" ht="27" customHeight="1">
      <c r="A176" s="29"/>
      <c r="B176" s="30" t="s">
        <v>109</v>
      </c>
      <c r="C176" s="29" t="s">
        <v>52</v>
      </c>
      <c r="D176" s="30" t="s">
        <v>110</v>
      </c>
      <c r="E176" s="30" t="s">
        <v>19</v>
      </c>
      <c r="F176" s="30" t="s">
        <v>344</v>
      </c>
      <c r="G176" s="30" t="s">
        <v>122</v>
      </c>
      <c r="H176" s="25">
        <v>11</v>
      </c>
      <c r="I176" s="1"/>
      <c r="J176" s="26"/>
      <c r="K176" s="27">
        <f t="shared" si="6"/>
        <v>0</v>
      </c>
      <c r="L176" s="27"/>
      <c r="M176" s="27"/>
      <c r="N176" s="1">
        <v>9</v>
      </c>
      <c r="O176" s="27">
        <f t="shared" si="4"/>
        <v>0</v>
      </c>
      <c r="P176" s="27"/>
      <c r="Q176" s="27"/>
      <c r="R176" s="31"/>
    </row>
    <row r="177" spans="1:18" ht="27.75" customHeight="1">
      <c r="A177" s="24">
        <v>92</v>
      </c>
      <c r="B177" s="23" t="s">
        <v>111</v>
      </c>
      <c r="C177" s="24" t="s">
        <v>18</v>
      </c>
      <c r="D177" s="23"/>
      <c r="E177" s="23" t="s">
        <v>112</v>
      </c>
      <c r="F177" s="23" t="s">
        <v>268</v>
      </c>
      <c r="G177" s="23" t="s">
        <v>142</v>
      </c>
      <c r="H177" s="25">
        <v>4</v>
      </c>
      <c r="I177" s="1"/>
      <c r="J177" s="26"/>
      <c r="K177" s="27">
        <f t="shared" si="6"/>
        <v>0</v>
      </c>
      <c r="L177" s="27"/>
      <c r="M177" s="27"/>
      <c r="N177" s="1"/>
      <c r="O177" s="27">
        <f t="shared" si="4"/>
        <v>0</v>
      </c>
      <c r="P177" s="27"/>
      <c r="Q177" s="27"/>
      <c r="R177" s="31"/>
    </row>
    <row r="178" spans="1:18" ht="16.5" customHeight="1">
      <c r="A178" s="24"/>
      <c r="B178" s="23" t="s">
        <v>111</v>
      </c>
      <c r="C178" s="24" t="s">
        <v>18</v>
      </c>
      <c r="D178" s="23"/>
      <c r="E178" s="23" t="s">
        <v>112</v>
      </c>
      <c r="F178" s="23" t="s">
        <v>123</v>
      </c>
      <c r="G178" s="23" t="s">
        <v>136</v>
      </c>
      <c r="H178" s="25">
        <v>5</v>
      </c>
      <c r="I178" s="2"/>
      <c r="J178" s="26"/>
      <c r="K178" s="27">
        <f t="shared" si="6"/>
        <v>0</v>
      </c>
      <c r="L178" s="27"/>
      <c r="M178" s="27"/>
      <c r="N178" s="2">
        <v>2</v>
      </c>
      <c r="O178" s="27">
        <f t="shared" si="4"/>
        <v>0</v>
      </c>
      <c r="P178" s="27"/>
      <c r="Q178" s="27"/>
      <c r="R178" s="31"/>
    </row>
    <row r="179" spans="1:18" ht="16.5" customHeight="1">
      <c r="A179" s="24">
        <v>93</v>
      </c>
      <c r="B179" s="23" t="s">
        <v>113</v>
      </c>
      <c r="C179" s="24" t="s">
        <v>18</v>
      </c>
      <c r="D179" s="23"/>
      <c r="E179" s="23" t="s">
        <v>19</v>
      </c>
      <c r="F179" s="23" t="s">
        <v>120</v>
      </c>
      <c r="G179" s="23" t="s">
        <v>142</v>
      </c>
      <c r="H179" s="25">
        <v>0</v>
      </c>
      <c r="I179" s="1"/>
      <c r="J179" s="26"/>
      <c r="K179" s="27">
        <f t="shared" si="6"/>
        <v>0</v>
      </c>
      <c r="L179" s="27"/>
      <c r="M179" s="27"/>
      <c r="N179" s="1">
        <v>1</v>
      </c>
      <c r="O179" s="27">
        <f t="shared" si="4"/>
        <v>0</v>
      </c>
      <c r="P179" s="27"/>
      <c r="Q179" s="27"/>
      <c r="R179" s="31"/>
    </row>
    <row r="180" spans="1:18" ht="18.75" customHeight="1">
      <c r="A180" s="24"/>
      <c r="B180" s="23" t="s">
        <v>113</v>
      </c>
      <c r="C180" s="24" t="s">
        <v>18</v>
      </c>
      <c r="D180" s="23"/>
      <c r="E180" s="23" t="s">
        <v>19</v>
      </c>
      <c r="F180" s="23" t="s">
        <v>292</v>
      </c>
      <c r="G180" s="23" t="s">
        <v>122</v>
      </c>
      <c r="H180" s="25">
        <v>6</v>
      </c>
      <c r="I180" s="1"/>
      <c r="J180" s="26"/>
      <c r="K180" s="27">
        <f t="shared" si="6"/>
        <v>0</v>
      </c>
      <c r="L180" s="27"/>
      <c r="M180" s="27"/>
      <c r="N180" s="1">
        <v>7</v>
      </c>
      <c r="O180" s="27">
        <f t="shared" si="4"/>
        <v>0</v>
      </c>
      <c r="P180" s="27"/>
      <c r="Q180" s="27"/>
      <c r="R180" s="31"/>
    </row>
    <row r="181" spans="1:18" ht="12.6" customHeight="1">
      <c r="A181" s="24">
        <v>94</v>
      </c>
      <c r="B181" s="23" t="s">
        <v>114</v>
      </c>
      <c r="C181" s="24" t="s">
        <v>18</v>
      </c>
      <c r="D181" s="23"/>
      <c r="E181" s="23" t="s">
        <v>41</v>
      </c>
      <c r="F181" s="23" t="s">
        <v>268</v>
      </c>
      <c r="G181" s="23" t="s">
        <v>142</v>
      </c>
      <c r="H181" s="25">
        <v>2</v>
      </c>
      <c r="I181" s="1"/>
      <c r="J181" s="26"/>
      <c r="K181" s="27">
        <f t="shared" si="6"/>
        <v>0</v>
      </c>
      <c r="L181" s="27"/>
      <c r="M181" s="27"/>
      <c r="N181" s="1"/>
      <c r="O181" s="27">
        <f t="shared" si="4"/>
        <v>0</v>
      </c>
      <c r="P181" s="27"/>
      <c r="Q181" s="27"/>
      <c r="R181" s="31"/>
    </row>
    <row r="182" spans="1:18" ht="16.899999999999999" customHeight="1">
      <c r="A182" s="24"/>
      <c r="B182" s="23" t="s">
        <v>141</v>
      </c>
      <c r="C182" s="24" t="s">
        <v>18</v>
      </c>
      <c r="D182" s="23"/>
      <c r="E182" s="23" t="s">
        <v>41</v>
      </c>
      <c r="F182" s="23" t="s">
        <v>368</v>
      </c>
      <c r="G182" s="23" t="s">
        <v>136</v>
      </c>
      <c r="H182" s="25">
        <v>2</v>
      </c>
      <c r="I182" s="2"/>
      <c r="J182" s="26"/>
      <c r="K182" s="27">
        <f t="shared" si="6"/>
        <v>0</v>
      </c>
      <c r="L182" s="27"/>
      <c r="M182" s="27"/>
      <c r="N182" s="2">
        <v>1</v>
      </c>
      <c r="O182" s="27">
        <f t="shared" si="4"/>
        <v>0</v>
      </c>
      <c r="P182" s="27"/>
      <c r="Q182" s="27"/>
      <c r="R182" s="31"/>
    </row>
    <row r="183" spans="1:18" ht="16.899999999999999" customHeight="1">
      <c r="A183" s="24">
        <v>95</v>
      </c>
      <c r="B183" s="23" t="s">
        <v>309</v>
      </c>
      <c r="C183" s="24" t="s">
        <v>18</v>
      </c>
      <c r="D183" s="23"/>
      <c r="E183" s="23" t="s">
        <v>19</v>
      </c>
      <c r="F183" s="23" t="s">
        <v>343</v>
      </c>
      <c r="G183" s="23" t="s">
        <v>122</v>
      </c>
      <c r="H183" s="25">
        <v>1</v>
      </c>
      <c r="I183" s="2"/>
      <c r="J183" s="26"/>
      <c r="K183" s="27">
        <f t="shared" si="6"/>
        <v>0</v>
      </c>
      <c r="L183" s="27"/>
      <c r="M183" s="27"/>
      <c r="N183" s="2"/>
      <c r="O183" s="27">
        <f t="shared" si="4"/>
        <v>0</v>
      </c>
      <c r="P183" s="27"/>
      <c r="Q183" s="27"/>
      <c r="R183" s="31"/>
    </row>
    <row r="184" spans="1:18" ht="16.899999999999999" customHeight="1">
      <c r="A184" s="24"/>
      <c r="B184" s="23" t="s">
        <v>309</v>
      </c>
      <c r="C184" s="24" t="s">
        <v>18</v>
      </c>
      <c r="D184" s="23"/>
      <c r="E184" s="23"/>
      <c r="F184" s="23" t="s">
        <v>324</v>
      </c>
      <c r="G184" s="23" t="s">
        <v>124</v>
      </c>
      <c r="H184" s="25">
        <v>0</v>
      </c>
      <c r="I184" s="2"/>
      <c r="J184" s="26"/>
      <c r="K184" s="27">
        <f t="shared" si="6"/>
        <v>0</v>
      </c>
      <c r="L184" s="27"/>
      <c r="M184" s="27"/>
      <c r="N184" s="2"/>
      <c r="O184" s="27">
        <f t="shared" si="4"/>
        <v>0</v>
      </c>
      <c r="P184" s="27"/>
      <c r="Q184" s="27"/>
      <c r="R184" s="31"/>
    </row>
    <row r="185" spans="1:18" ht="24.6" customHeight="1">
      <c r="A185" s="29">
        <v>96</v>
      </c>
      <c r="B185" s="30" t="s">
        <v>115</v>
      </c>
      <c r="C185" s="29" t="s">
        <v>52</v>
      </c>
      <c r="D185" s="30" t="s">
        <v>110</v>
      </c>
      <c r="E185" s="30" t="s">
        <v>19</v>
      </c>
      <c r="F185" s="30"/>
      <c r="G185" s="30" t="s">
        <v>142</v>
      </c>
      <c r="H185" s="25">
        <v>0</v>
      </c>
      <c r="I185" s="1"/>
      <c r="J185" s="26"/>
      <c r="K185" s="27">
        <f t="shared" si="6"/>
        <v>0</v>
      </c>
      <c r="L185" s="27"/>
      <c r="M185" s="27"/>
      <c r="N185" s="1"/>
      <c r="O185" s="27">
        <f t="shared" ref="O185:O189" si="7">P185+Q185</f>
        <v>0</v>
      </c>
      <c r="P185" s="27"/>
      <c r="Q185" s="27"/>
      <c r="R185" s="31"/>
    </row>
    <row r="186" spans="1:18" ht="32.25" customHeight="1">
      <c r="A186" s="29"/>
      <c r="B186" s="30" t="s">
        <v>115</v>
      </c>
      <c r="C186" s="29" t="s">
        <v>52</v>
      </c>
      <c r="D186" s="30" t="s">
        <v>110</v>
      </c>
      <c r="E186" s="30" t="s">
        <v>19</v>
      </c>
      <c r="F186" s="30" t="s">
        <v>292</v>
      </c>
      <c r="G186" s="30" t="s">
        <v>122</v>
      </c>
      <c r="H186" s="25">
        <v>0</v>
      </c>
      <c r="I186" s="1"/>
      <c r="J186" s="44"/>
      <c r="K186" s="27">
        <f t="shared" si="6"/>
        <v>0</v>
      </c>
      <c r="L186" s="27"/>
      <c r="M186" s="27"/>
      <c r="N186" s="1">
        <v>1</v>
      </c>
      <c r="O186" s="27">
        <f t="shared" si="7"/>
        <v>0</v>
      </c>
      <c r="P186" s="27"/>
      <c r="Q186" s="27"/>
      <c r="R186" s="31"/>
    </row>
    <row r="187" spans="1:18" ht="34.9" customHeight="1">
      <c r="A187" s="29">
        <v>97</v>
      </c>
      <c r="B187" s="30" t="s">
        <v>116</v>
      </c>
      <c r="C187" s="29" t="s">
        <v>52</v>
      </c>
      <c r="D187" s="30" t="s">
        <v>117</v>
      </c>
      <c r="E187" s="30" t="s">
        <v>19</v>
      </c>
      <c r="F187" s="30" t="s">
        <v>299</v>
      </c>
      <c r="G187" s="30" t="s">
        <v>142</v>
      </c>
      <c r="H187" s="25">
        <v>13</v>
      </c>
      <c r="I187" s="1">
        <v>7</v>
      </c>
      <c r="J187" s="44">
        <v>7</v>
      </c>
      <c r="K187" s="27">
        <f t="shared" si="6"/>
        <v>0</v>
      </c>
      <c r="L187" s="27"/>
      <c r="M187" s="27"/>
      <c r="N187" s="1">
        <v>3</v>
      </c>
      <c r="O187" s="27">
        <f t="shared" si="7"/>
        <v>0</v>
      </c>
      <c r="P187" s="27"/>
      <c r="Q187" s="27"/>
      <c r="R187" s="31"/>
    </row>
    <row r="188" spans="1:18" ht="28.5" customHeight="1">
      <c r="A188" s="29">
        <v>98</v>
      </c>
      <c r="B188" s="30" t="s">
        <v>209</v>
      </c>
      <c r="C188" s="29" t="s">
        <v>18</v>
      </c>
      <c r="D188" s="30"/>
      <c r="E188" s="30" t="s">
        <v>19</v>
      </c>
      <c r="F188" s="30" t="s">
        <v>123</v>
      </c>
      <c r="G188" s="30" t="s">
        <v>142</v>
      </c>
      <c r="H188" s="25">
        <v>0</v>
      </c>
      <c r="I188" s="1"/>
      <c r="J188" s="44"/>
      <c r="K188" s="27">
        <f t="shared" si="6"/>
        <v>0</v>
      </c>
      <c r="L188" s="27"/>
      <c r="M188" s="27"/>
      <c r="N188" s="1"/>
      <c r="O188" s="27">
        <f t="shared" si="7"/>
        <v>0</v>
      </c>
      <c r="P188" s="27"/>
      <c r="Q188" s="27"/>
      <c r="R188" s="31"/>
    </row>
    <row r="189" spans="1:18" ht="19.5" customHeight="1">
      <c r="A189" s="29">
        <v>99</v>
      </c>
      <c r="B189" s="30" t="s">
        <v>118</v>
      </c>
      <c r="C189" s="29" t="s">
        <v>18</v>
      </c>
      <c r="D189" s="30"/>
      <c r="E189" s="30" t="s">
        <v>41</v>
      </c>
      <c r="F189" s="30" t="s">
        <v>292</v>
      </c>
      <c r="G189" s="30" t="s">
        <v>142</v>
      </c>
      <c r="H189" s="25">
        <v>7</v>
      </c>
      <c r="I189" s="1">
        <v>4</v>
      </c>
      <c r="J189" s="44">
        <v>4</v>
      </c>
      <c r="K189" s="27">
        <f t="shared" si="6"/>
        <v>0</v>
      </c>
      <c r="L189" s="27"/>
      <c r="M189" s="27"/>
      <c r="N189" s="1">
        <v>19</v>
      </c>
      <c r="O189" s="27">
        <f t="shared" si="7"/>
        <v>0</v>
      </c>
      <c r="P189" s="27"/>
      <c r="Q189" s="27"/>
      <c r="R189" s="31"/>
    </row>
    <row r="190" spans="1:18" ht="30.6" customHeight="1">
      <c r="A190" s="24"/>
      <c r="B190" s="23" t="s">
        <v>118</v>
      </c>
      <c r="C190" s="24" t="s">
        <v>18</v>
      </c>
      <c r="D190" s="23"/>
      <c r="E190" s="23" t="s">
        <v>41</v>
      </c>
      <c r="F190" s="23" t="s">
        <v>298</v>
      </c>
      <c r="G190" s="23" t="s">
        <v>124</v>
      </c>
      <c r="H190" s="25">
        <v>0</v>
      </c>
      <c r="I190" s="1"/>
      <c r="J190" s="44"/>
      <c r="K190" s="27">
        <f t="shared" si="6"/>
        <v>0</v>
      </c>
      <c r="L190" s="27"/>
      <c r="M190" s="27"/>
      <c r="N190" s="1"/>
      <c r="O190" s="27">
        <f>P190+Q190</f>
        <v>0</v>
      </c>
      <c r="P190" s="27"/>
      <c r="Q190" s="27"/>
      <c r="R190" s="31"/>
    </row>
    <row r="191" spans="1:18" ht="27" customHeight="1">
      <c r="A191" s="24"/>
      <c r="B191" s="23" t="s">
        <v>118</v>
      </c>
      <c r="C191" s="24" t="s">
        <v>18</v>
      </c>
      <c r="D191" s="23"/>
      <c r="E191" s="23" t="s">
        <v>41</v>
      </c>
      <c r="F191" s="23" t="s">
        <v>123</v>
      </c>
      <c r="G191" s="23" t="s">
        <v>136</v>
      </c>
      <c r="H191" s="25">
        <v>0</v>
      </c>
      <c r="I191" s="2"/>
      <c r="J191" s="26"/>
      <c r="K191" s="27">
        <f t="shared" si="6"/>
        <v>0</v>
      </c>
      <c r="L191" s="27"/>
      <c r="M191" s="27"/>
      <c r="N191" s="2"/>
      <c r="O191" s="27">
        <f>P191+Q191</f>
        <v>0</v>
      </c>
      <c r="P191" s="27"/>
      <c r="Q191" s="27"/>
      <c r="R191" s="31"/>
    </row>
    <row r="192" spans="1:18" ht="27" customHeight="1">
      <c r="A192" s="46"/>
      <c r="B192" s="60" t="s">
        <v>119</v>
      </c>
      <c r="C192" s="46" t="s">
        <v>18</v>
      </c>
      <c r="D192" s="60"/>
      <c r="E192" s="60" t="s">
        <v>19</v>
      </c>
      <c r="F192" s="60" t="s">
        <v>120</v>
      </c>
      <c r="G192" s="60" t="s">
        <v>122</v>
      </c>
      <c r="H192" s="61">
        <v>0</v>
      </c>
      <c r="I192" s="32"/>
      <c r="J192" s="62"/>
      <c r="K192" s="27">
        <f t="shared" si="6"/>
        <v>0</v>
      </c>
      <c r="L192" s="63"/>
      <c r="M192" s="63"/>
      <c r="N192" s="32"/>
      <c r="O192" s="63">
        <v>0</v>
      </c>
      <c r="P192" s="63"/>
      <c r="Q192" s="63"/>
      <c r="R192" s="31"/>
    </row>
    <row r="193" spans="1:18" ht="27" customHeight="1">
      <c r="A193" s="46">
        <v>100</v>
      </c>
      <c r="B193" s="23" t="s">
        <v>325</v>
      </c>
      <c r="C193" s="24" t="s">
        <v>18</v>
      </c>
      <c r="D193" s="23"/>
      <c r="E193" s="23" t="s">
        <v>36</v>
      </c>
      <c r="F193" s="23" t="s">
        <v>285</v>
      </c>
      <c r="G193" s="23" t="s">
        <v>142</v>
      </c>
      <c r="H193" s="25">
        <v>2</v>
      </c>
      <c r="I193" s="2"/>
      <c r="J193" s="26"/>
      <c r="K193" s="27">
        <f t="shared" si="6"/>
        <v>0</v>
      </c>
      <c r="L193" s="27"/>
      <c r="M193" s="27"/>
      <c r="N193" s="2"/>
      <c r="O193" s="27">
        <v>0</v>
      </c>
      <c r="P193" s="27"/>
      <c r="Q193" s="27"/>
      <c r="R193" s="31"/>
    </row>
    <row r="194" spans="1:18" ht="18.75" customHeight="1" thickBot="1">
      <c r="A194" s="47"/>
      <c r="B194" s="48" t="s">
        <v>325</v>
      </c>
      <c r="C194" s="49" t="s">
        <v>18</v>
      </c>
      <c r="D194" s="48"/>
      <c r="E194" s="48" t="s">
        <v>370</v>
      </c>
      <c r="F194" s="48" t="s">
        <v>371</v>
      </c>
      <c r="G194" s="48" t="s">
        <v>136</v>
      </c>
      <c r="H194" s="50"/>
      <c r="I194" s="33"/>
      <c r="J194" s="51"/>
      <c r="K194" s="34">
        <f t="shared" si="6"/>
        <v>0</v>
      </c>
      <c r="L194" s="52"/>
      <c r="M194" s="52"/>
      <c r="N194" s="33"/>
      <c r="O194" s="52">
        <f>P194+Q194</f>
        <v>0</v>
      </c>
      <c r="P194" s="52"/>
      <c r="Q194" s="52"/>
      <c r="R194" s="31"/>
    </row>
    <row r="195" spans="1:18" ht="16.5" customHeight="1">
      <c r="A195" s="87" t="s">
        <v>145</v>
      </c>
      <c r="B195" s="87"/>
      <c r="C195" s="88"/>
      <c r="D195" s="89"/>
      <c r="E195" s="89"/>
      <c r="F195" s="89"/>
      <c r="G195" s="89"/>
      <c r="H195" s="88">
        <f>SUM(H10:H194)</f>
        <v>616</v>
      </c>
      <c r="I195" s="88">
        <f>SUM(I10:I194)</f>
        <v>133</v>
      </c>
      <c r="J195" s="88">
        <f>SUM(J10:J194)</f>
        <v>136</v>
      </c>
      <c r="K195" s="90">
        <f>SUM(K10:K194)</f>
        <v>0</v>
      </c>
      <c r="L195" s="90">
        <f t="shared" ref="L195:Q195" si="8">SUM(L10:L194)</f>
        <v>0</v>
      </c>
      <c r="M195" s="88">
        <f t="shared" si="8"/>
        <v>0</v>
      </c>
      <c r="N195" s="88">
        <f t="shared" si="8"/>
        <v>408</v>
      </c>
      <c r="O195" s="90">
        <f>SUM(O10:O194)</f>
        <v>10220.61</v>
      </c>
      <c r="P195" s="88">
        <f t="shared" si="8"/>
        <v>10220.61</v>
      </c>
      <c r="Q195" s="88">
        <f t="shared" si="8"/>
        <v>0</v>
      </c>
      <c r="R195" s="31"/>
    </row>
    <row r="196" spans="1:18" ht="15" customHeight="1">
      <c r="A196" s="24"/>
      <c r="B196" s="23"/>
      <c r="C196" s="24"/>
      <c r="D196" s="23"/>
      <c r="E196" s="23"/>
      <c r="F196" s="23"/>
      <c r="G196" s="23"/>
      <c r="H196" s="98"/>
      <c r="I196" s="98"/>
      <c r="J196" s="98"/>
      <c r="K196" s="98"/>
      <c r="L196" s="98"/>
      <c r="M196" s="98"/>
      <c r="N196" s="98"/>
      <c r="O196" s="98"/>
      <c r="P196" s="24"/>
      <c r="Q196" s="24"/>
      <c r="R196" s="31"/>
    </row>
    <row r="197" spans="1:18">
      <c r="R197" s="31"/>
    </row>
    <row r="198" spans="1:18">
      <c r="K198" s="31"/>
      <c r="L198" s="31"/>
      <c r="M198" s="31"/>
    </row>
    <row r="199" spans="1:18">
      <c r="K199" s="31"/>
      <c r="L199" s="31"/>
      <c r="N199" s="31"/>
      <c r="O199" s="31"/>
    </row>
    <row r="200" spans="1:18">
      <c r="K200" s="31"/>
      <c r="L200" s="31"/>
      <c r="N200" s="31"/>
    </row>
    <row r="201" spans="1:18">
      <c r="K201" s="31"/>
      <c r="L201" s="31"/>
    </row>
    <row r="202" spans="1:18">
      <c r="K202" s="31"/>
      <c r="L202" s="31"/>
    </row>
    <row r="203" spans="1:18">
      <c r="L203" s="31"/>
    </row>
    <row r="210" spans="12:12">
      <c r="L210" s="31"/>
    </row>
  </sheetData>
  <mergeCells count="8">
    <mergeCell ref="A195:B195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R214"/>
  <sheetViews>
    <sheetView topLeftCell="A53" zoomScale="80" zoomScaleNormal="80" workbookViewId="0">
      <selection activeCell="H55" sqref="A7:Q199"/>
    </sheetView>
  </sheetViews>
  <sheetFormatPr defaultColWidth="9" defaultRowHeight="15"/>
  <cols>
    <col min="1" max="1" width="5.28515625" style="4" customWidth="1"/>
    <col min="2" max="2" width="35.85546875" style="4" customWidth="1"/>
    <col min="3" max="3" width="13.7109375" style="4" customWidth="1"/>
    <col min="4" max="4" width="19.28515625" style="4" customWidth="1"/>
    <col min="5" max="5" width="16.28515625" style="4" customWidth="1"/>
    <col min="6" max="6" width="23.7109375" style="4" customWidth="1"/>
    <col min="7" max="7" width="27.7109375" style="4" customWidth="1"/>
    <col min="8" max="8" width="18" style="4" customWidth="1"/>
    <col min="9" max="9" width="13.85546875" style="4" customWidth="1"/>
    <col min="10" max="11" width="12.85546875" style="4" customWidth="1"/>
    <col min="12" max="12" width="11.7109375" style="4" customWidth="1"/>
    <col min="13" max="13" width="12.140625" style="12" customWidth="1"/>
    <col min="14" max="14" width="11.28515625" style="4" customWidth="1"/>
    <col min="15" max="15" width="11.85546875" style="4" customWidth="1"/>
    <col min="16" max="16" width="11" style="4" customWidth="1"/>
    <col min="17" max="17" width="11.28515625" style="12" customWidth="1"/>
    <col min="18" max="18" width="14.28515625" style="14" customWidth="1"/>
    <col min="19" max="38" width="9" style="14"/>
    <col min="39" max="16384" width="9" style="4"/>
  </cols>
  <sheetData>
    <row r="1" spans="1:44" ht="101.25" hidden="1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0"/>
      <c r="N1" s="3"/>
      <c r="O1" s="64" t="s">
        <v>16</v>
      </c>
      <c r="P1" s="64"/>
      <c r="Q1" s="64"/>
    </row>
    <row r="2" spans="1:4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10"/>
      <c r="N2" s="3"/>
      <c r="O2" s="3"/>
      <c r="P2" s="3"/>
      <c r="Q2" s="10"/>
    </row>
    <row r="3" spans="1:44" ht="15" customHeight="1">
      <c r="A3" s="65" t="s">
        <v>289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44">
      <c r="A4" s="66" t="s">
        <v>15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44" ht="13.9" customHeight="1">
      <c r="A5" s="67" t="s">
        <v>14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4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10"/>
      <c r="N6" s="3"/>
      <c r="O6" s="3"/>
      <c r="P6" s="3"/>
      <c r="Q6" s="10"/>
    </row>
    <row r="7" spans="1:44" ht="59.45" customHeight="1">
      <c r="A7" s="68" t="s">
        <v>0</v>
      </c>
      <c r="B7" s="69" t="s">
        <v>10</v>
      </c>
      <c r="C7" s="69"/>
      <c r="D7" s="69"/>
      <c r="E7" s="69"/>
      <c r="F7" s="69"/>
      <c r="G7" s="69"/>
      <c r="H7" s="70" t="s">
        <v>288</v>
      </c>
      <c r="I7" s="70"/>
      <c r="J7" s="70"/>
      <c r="K7" s="70"/>
      <c r="L7" s="70"/>
      <c r="M7" s="70"/>
      <c r="N7" s="69" t="s">
        <v>290</v>
      </c>
      <c r="O7" s="69"/>
      <c r="P7" s="69"/>
      <c r="Q7" s="69"/>
    </row>
    <row r="8" spans="1:44" ht="126.6" customHeight="1">
      <c r="A8" s="71"/>
      <c r="B8" s="46" t="s">
        <v>4</v>
      </c>
      <c r="C8" s="46" t="s">
        <v>1</v>
      </c>
      <c r="D8" s="46" t="s">
        <v>3</v>
      </c>
      <c r="E8" s="46" t="s">
        <v>2</v>
      </c>
      <c r="F8" s="46" t="s">
        <v>6</v>
      </c>
      <c r="G8" s="46" t="s">
        <v>5</v>
      </c>
      <c r="H8" s="24" t="s">
        <v>7</v>
      </c>
      <c r="I8" s="72" t="s">
        <v>8</v>
      </c>
      <c r="J8" s="72" t="s">
        <v>9</v>
      </c>
      <c r="K8" s="72" t="s">
        <v>11</v>
      </c>
      <c r="L8" s="72" t="s">
        <v>12</v>
      </c>
      <c r="M8" s="72" t="s">
        <v>13</v>
      </c>
      <c r="N8" s="72" t="s">
        <v>9</v>
      </c>
      <c r="O8" s="72" t="s">
        <v>11</v>
      </c>
      <c r="P8" s="72" t="s">
        <v>12</v>
      </c>
      <c r="Q8" s="24" t="s">
        <v>13</v>
      </c>
    </row>
    <row r="9" spans="1:44" ht="15" customHeight="1">
      <c r="A9" s="73">
        <v>1</v>
      </c>
      <c r="B9" s="73">
        <f t="shared" ref="B9:Q9" si="0">A9+1</f>
        <v>2</v>
      </c>
      <c r="C9" s="73">
        <f t="shared" si="0"/>
        <v>3</v>
      </c>
      <c r="D9" s="73">
        <f t="shared" si="0"/>
        <v>4</v>
      </c>
      <c r="E9" s="73">
        <f t="shared" si="0"/>
        <v>5</v>
      </c>
      <c r="F9" s="73">
        <f t="shared" si="0"/>
        <v>6</v>
      </c>
      <c r="G9" s="73">
        <f t="shared" si="0"/>
        <v>7</v>
      </c>
      <c r="H9" s="73">
        <v>8</v>
      </c>
      <c r="I9" s="73">
        <f t="shared" si="0"/>
        <v>9</v>
      </c>
      <c r="J9" s="73">
        <f t="shared" si="0"/>
        <v>10</v>
      </c>
      <c r="K9" s="73">
        <f t="shared" si="0"/>
        <v>11</v>
      </c>
      <c r="L9" s="73">
        <f t="shared" si="0"/>
        <v>12</v>
      </c>
      <c r="M9" s="73">
        <f t="shared" si="0"/>
        <v>13</v>
      </c>
      <c r="N9" s="73">
        <f t="shared" si="0"/>
        <v>14</v>
      </c>
      <c r="O9" s="73">
        <f t="shared" si="0"/>
        <v>15</v>
      </c>
      <c r="P9" s="73">
        <f t="shared" si="0"/>
        <v>16</v>
      </c>
      <c r="Q9" s="73">
        <f t="shared" si="0"/>
        <v>17</v>
      </c>
    </row>
    <row r="10" spans="1:44" s="17" customFormat="1" ht="15" customHeight="1">
      <c r="A10" s="73">
        <v>1</v>
      </c>
      <c r="B10" s="23" t="s">
        <v>17</v>
      </c>
      <c r="C10" s="24" t="s">
        <v>18</v>
      </c>
      <c r="D10" s="23"/>
      <c r="E10" s="23" t="s">
        <v>104</v>
      </c>
      <c r="F10" s="23" t="s">
        <v>123</v>
      </c>
      <c r="G10" s="23" t="s">
        <v>142</v>
      </c>
      <c r="H10" s="74">
        <v>0</v>
      </c>
      <c r="I10" s="1"/>
      <c r="J10" s="26"/>
      <c r="K10" s="27">
        <f>L10+M10</f>
        <v>0</v>
      </c>
      <c r="L10" s="75"/>
      <c r="M10" s="75"/>
      <c r="N10" s="1"/>
      <c r="O10" s="27">
        <f t="shared" ref="O10:O89" si="1">P10+Q10</f>
        <v>0</v>
      </c>
      <c r="P10" s="76"/>
      <c r="Q10" s="75"/>
      <c r="R10" s="20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ht="15" customHeight="1">
      <c r="A11" s="24"/>
      <c r="B11" s="23" t="s">
        <v>17</v>
      </c>
      <c r="C11" s="24" t="s">
        <v>18</v>
      </c>
      <c r="D11" s="23"/>
      <c r="E11" s="23" t="s">
        <v>104</v>
      </c>
      <c r="F11" s="23" t="s">
        <v>291</v>
      </c>
      <c r="G11" s="23" t="s">
        <v>122</v>
      </c>
      <c r="H11" s="25">
        <v>9</v>
      </c>
      <c r="I11" s="1"/>
      <c r="J11" s="26"/>
      <c r="K11" s="27">
        <f t="shared" ref="K11:K82" si="2">L11+M11</f>
        <v>0</v>
      </c>
      <c r="L11" s="27"/>
      <c r="M11" s="27"/>
      <c r="N11" s="1">
        <v>7</v>
      </c>
      <c r="O11" s="27">
        <f t="shared" si="1"/>
        <v>0</v>
      </c>
      <c r="P11" s="27"/>
      <c r="Q11" s="27"/>
      <c r="R11" s="20"/>
    </row>
    <row r="12" spans="1:44" s="14" customFormat="1" ht="15" customHeight="1">
      <c r="A12" s="24">
        <v>2</v>
      </c>
      <c r="B12" s="23" t="s">
        <v>20</v>
      </c>
      <c r="C12" s="24" t="s">
        <v>18</v>
      </c>
      <c r="D12" s="23"/>
      <c r="E12" s="23" t="s">
        <v>21</v>
      </c>
      <c r="F12" s="23" t="s">
        <v>120</v>
      </c>
      <c r="G12" s="23" t="s">
        <v>142</v>
      </c>
      <c r="H12" s="25">
        <v>6</v>
      </c>
      <c r="I12" s="1"/>
      <c r="J12" s="26"/>
      <c r="K12" s="27">
        <f t="shared" si="2"/>
        <v>0</v>
      </c>
      <c r="L12" s="27"/>
      <c r="M12" s="27"/>
      <c r="N12" s="1"/>
      <c r="O12" s="27">
        <f t="shared" si="1"/>
        <v>3500.41</v>
      </c>
      <c r="P12" s="27">
        <v>3500.41</v>
      </c>
      <c r="Q12" s="27"/>
      <c r="R12" s="20"/>
    </row>
    <row r="13" spans="1:44" ht="15" customHeight="1">
      <c r="A13" s="24"/>
      <c r="B13" s="23" t="s">
        <v>135</v>
      </c>
      <c r="C13" s="24" t="s">
        <v>18</v>
      </c>
      <c r="D13" s="23"/>
      <c r="E13" s="23" t="s">
        <v>21</v>
      </c>
      <c r="F13" s="23" t="s">
        <v>356</v>
      </c>
      <c r="G13" s="23" t="s">
        <v>136</v>
      </c>
      <c r="H13" s="25">
        <v>1</v>
      </c>
      <c r="I13" s="2"/>
      <c r="J13" s="26"/>
      <c r="K13" s="27">
        <f t="shared" si="2"/>
        <v>0</v>
      </c>
      <c r="L13" s="27"/>
      <c r="M13" s="27"/>
      <c r="N13" s="2"/>
      <c r="O13" s="27">
        <f t="shared" si="1"/>
        <v>0</v>
      </c>
      <c r="P13" s="27"/>
      <c r="Q13" s="27"/>
      <c r="R13" s="20"/>
    </row>
    <row r="14" spans="1:44" s="7" customFormat="1" ht="15" customHeight="1">
      <c r="A14" s="24">
        <v>3</v>
      </c>
      <c r="B14" s="23" t="s">
        <v>22</v>
      </c>
      <c r="C14" s="24" t="s">
        <v>18</v>
      </c>
      <c r="D14" s="23"/>
      <c r="E14" s="23" t="s">
        <v>21</v>
      </c>
      <c r="F14" s="23" t="s">
        <v>292</v>
      </c>
      <c r="G14" s="23" t="s">
        <v>142</v>
      </c>
      <c r="H14" s="25">
        <v>5</v>
      </c>
      <c r="I14" s="1"/>
      <c r="J14" s="26"/>
      <c r="K14" s="27">
        <f t="shared" si="2"/>
        <v>0</v>
      </c>
      <c r="L14" s="27"/>
      <c r="M14" s="27"/>
      <c r="N14" s="1">
        <v>6</v>
      </c>
      <c r="O14" s="27">
        <f t="shared" si="1"/>
        <v>6380.54</v>
      </c>
      <c r="P14" s="27">
        <v>6380.54</v>
      </c>
      <c r="Q14" s="27"/>
      <c r="R14" s="20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4" ht="15" customHeight="1">
      <c r="A15" s="24"/>
      <c r="B15" s="23" t="s">
        <v>137</v>
      </c>
      <c r="C15" s="24" t="s">
        <v>18</v>
      </c>
      <c r="D15" s="23"/>
      <c r="E15" s="23" t="s">
        <v>21</v>
      </c>
      <c r="F15" s="23" t="s">
        <v>357</v>
      </c>
      <c r="G15" s="23" t="s">
        <v>136</v>
      </c>
      <c r="H15" s="25">
        <v>8</v>
      </c>
      <c r="I15" s="2">
        <v>1</v>
      </c>
      <c r="J15" s="26">
        <v>1</v>
      </c>
      <c r="K15" s="27">
        <f t="shared" si="2"/>
        <v>0</v>
      </c>
      <c r="L15" s="27"/>
      <c r="M15" s="27"/>
      <c r="N15" s="2">
        <v>9</v>
      </c>
      <c r="O15" s="27">
        <f t="shared" si="1"/>
        <v>757.8</v>
      </c>
      <c r="P15" s="27">
        <v>757.8</v>
      </c>
      <c r="Q15" s="27"/>
      <c r="R15" s="20"/>
    </row>
    <row r="16" spans="1:44" s="7" customFormat="1" ht="15" customHeight="1">
      <c r="A16" s="24">
        <v>4</v>
      </c>
      <c r="B16" s="23" t="s">
        <v>23</v>
      </c>
      <c r="C16" s="24" t="s">
        <v>18</v>
      </c>
      <c r="D16" s="23"/>
      <c r="E16" s="23" t="s">
        <v>300</v>
      </c>
      <c r="F16" s="23" t="s">
        <v>120</v>
      </c>
      <c r="G16" s="23" t="s">
        <v>142</v>
      </c>
      <c r="H16" s="25">
        <v>16</v>
      </c>
      <c r="I16" s="1">
        <v>6</v>
      </c>
      <c r="J16" s="26">
        <v>7</v>
      </c>
      <c r="K16" s="27">
        <f t="shared" si="2"/>
        <v>0</v>
      </c>
      <c r="L16" s="27"/>
      <c r="M16" s="27"/>
      <c r="N16" s="1">
        <v>10</v>
      </c>
      <c r="O16" s="27">
        <f t="shared" si="1"/>
        <v>0</v>
      </c>
      <c r="P16" s="27"/>
      <c r="Q16" s="27"/>
      <c r="R16" s="20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5" customHeight="1">
      <c r="A17" s="24"/>
      <c r="B17" s="23" t="s">
        <v>23</v>
      </c>
      <c r="C17" s="24" t="s">
        <v>18</v>
      </c>
      <c r="D17" s="23"/>
      <c r="E17" s="23" t="s">
        <v>300</v>
      </c>
      <c r="F17" s="23" t="s">
        <v>292</v>
      </c>
      <c r="G17" s="23" t="s">
        <v>131</v>
      </c>
      <c r="H17" s="25">
        <v>0</v>
      </c>
      <c r="I17" s="1"/>
      <c r="J17" s="26"/>
      <c r="K17" s="27">
        <f t="shared" si="2"/>
        <v>0</v>
      </c>
      <c r="L17" s="27"/>
      <c r="M17" s="27"/>
      <c r="N17" s="1"/>
      <c r="O17" s="27">
        <f t="shared" si="1"/>
        <v>0</v>
      </c>
      <c r="P17" s="27"/>
      <c r="Q17" s="27"/>
      <c r="R17" s="20"/>
    </row>
    <row r="18" spans="1:38" s="17" customFormat="1" ht="15" customHeight="1">
      <c r="A18" s="24">
        <v>5</v>
      </c>
      <c r="B18" s="23" t="s">
        <v>274</v>
      </c>
      <c r="C18" s="24" t="s">
        <v>18</v>
      </c>
      <c r="D18" s="23"/>
      <c r="E18" s="23" t="s">
        <v>19</v>
      </c>
      <c r="F18" s="23" t="s">
        <v>123</v>
      </c>
      <c r="G18" s="23" t="s">
        <v>142</v>
      </c>
      <c r="H18" s="25">
        <v>0</v>
      </c>
      <c r="I18" s="1"/>
      <c r="J18" s="26"/>
      <c r="K18" s="27">
        <f t="shared" si="2"/>
        <v>0</v>
      </c>
      <c r="L18" s="27"/>
      <c r="M18" s="27"/>
      <c r="N18" s="1"/>
      <c r="O18" s="27">
        <f t="shared" si="1"/>
        <v>0</v>
      </c>
      <c r="P18" s="27"/>
      <c r="Q18" s="27"/>
      <c r="R18" s="20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spans="1:38" ht="15" customHeight="1">
      <c r="A19" s="24">
        <v>6</v>
      </c>
      <c r="B19" s="23" t="s">
        <v>25</v>
      </c>
      <c r="C19" s="24" t="s">
        <v>18</v>
      </c>
      <c r="D19" s="23"/>
      <c r="E19" s="23" t="s">
        <v>19</v>
      </c>
      <c r="F19" s="23" t="s">
        <v>292</v>
      </c>
      <c r="G19" s="23" t="s">
        <v>142</v>
      </c>
      <c r="H19" s="25">
        <v>2</v>
      </c>
      <c r="I19" s="1"/>
      <c r="J19" s="26"/>
      <c r="K19" s="27">
        <f t="shared" si="2"/>
        <v>0</v>
      </c>
      <c r="L19" s="27"/>
      <c r="M19" s="27"/>
      <c r="N19" s="1">
        <v>5</v>
      </c>
      <c r="O19" s="27">
        <f t="shared" si="1"/>
        <v>0</v>
      </c>
      <c r="P19" s="27"/>
      <c r="Q19" s="27"/>
      <c r="R19" s="20"/>
    </row>
    <row r="20" spans="1:38" s="7" customFormat="1" ht="15" customHeight="1">
      <c r="A20" s="24">
        <v>7</v>
      </c>
      <c r="B20" s="23" t="s">
        <v>26</v>
      </c>
      <c r="C20" s="24" t="s">
        <v>18</v>
      </c>
      <c r="D20" s="23"/>
      <c r="E20" s="23" t="s">
        <v>27</v>
      </c>
      <c r="F20" s="23" t="s">
        <v>120</v>
      </c>
      <c r="G20" s="23" t="s">
        <v>142</v>
      </c>
      <c r="H20" s="25">
        <v>15</v>
      </c>
      <c r="I20" s="1">
        <v>4</v>
      </c>
      <c r="J20" s="26">
        <v>4</v>
      </c>
      <c r="K20" s="27">
        <f t="shared" si="2"/>
        <v>0</v>
      </c>
      <c r="L20" s="27"/>
      <c r="M20" s="27"/>
      <c r="N20" s="1">
        <v>12</v>
      </c>
      <c r="O20" s="27">
        <f t="shared" si="1"/>
        <v>0</v>
      </c>
      <c r="P20" s="27"/>
      <c r="Q20" s="27"/>
      <c r="R20" s="20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5" customHeight="1">
      <c r="A21" s="24"/>
      <c r="B21" s="23" t="s">
        <v>125</v>
      </c>
      <c r="C21" s="24" t="s">
        <v>18</v>
      </c>
      <c r="D21" s="23"/>
      <c r="E21" s="23" t="s">
        <v>27</v>
      </c>
      <c r="F21" s="23" t="s">
        <v>358</v>
      </c>
      <c r="G21" s="23" t="s">
        <v>136</v>
      </c>
      <c r="H21" s="25">
        <v>0</v>
      </c>
      <c r="I21" s="2"/>
      <c r="J21" s="26"/>
      <c r="K21" s="27">
        <f t="shared" si="2"/>
        <v>0</v>
      </c>
      <c r="L21" s="27"/>
      <c r="M21" s="27"/>
      <c r="N21" s="2"/>
      <c r="O21" s="27">
        <f t="shared" si="1"/>
        <v>0</v>
      </c>
      <c r="P21" s="27"/>
      <c r="Q21" s="27"/>
      <c r="R21" s="20"/>
    </row>
    <row r="22" spans="1:38" ht="15" customHeight="1">
      <c r="A22" s="24"/>
      <c r="B22" s="23" t="s">
        <v>125</v>
      </c>
      <c r="C22" s="24" t="s">
        <v>18</v>
      </c>
      <c r="D22" s="23"/>
      <c r="E22" s="23" t="s">
        <v>27</v>
      </c>
      <c r="F22" s="23" t="s">
        <v>317</v>
      </c>
      <c r="G22" s="23" t="s">
        <v>124</v>
      </c>
      <c r="H22" s="25">
        <v>2</v>
      </c>
      <c r="I22" s="2"/>
      <c r="J22" s="26"/>
      <c r="K22" s="27">
        <f t="shared" si="2"/>
        <v>0</v>
      </c>
      <c r="L22" s="27"/>
      <c r="M22" s="27"/>
      <c r="N22" s="2">
        <v>8</v>
      </c>
      <c r="O22" s="27">
        <f t="shared" si="1"/>
        <v>0</v>
      </c>
      <c r="P22" s="27"/>
      <c r="Q22" s="27"/>
      <c r="R22" s="20"/>
    </row>
    <row r="23" spans="1:38" ht="15" customHeight="1">
      <c r="A23" s="24">
        <v>8</v>
      </c>
      <c r="B23" s="23" t="s">
        <v>28</v>
      </c>
      <c r="C23" s="24" t="s">
        <v>18</v>
      </c>
      <c r="D23" s="23"/>
      <c r="E23" s="23" t="s">
        <v>19</v>
      </c>
      <c r="F23" s="23" t="s">
        <v>120</v>
      </c>
      <c r="G23" s="23" t="s">
        <v>142</v>
      </c>
      <c r="H23" s="25">
        <v>0</v>
      </c>
      <c r="I23" s="2"/>
      <c r="J23" s="26"/>
      <c r="K23" s="27">
        <f t="shared" si="2"/>
        <v>0</v>
      </c>
      <c r="L23" s="27"/>
      <c r="M23" s="27"/>
      <c r="N23" s="2"/>
      <c r="O23" s="27">
        <f t="shared" si="1"/>
        <v>0</v>
      </c>
      <c r="P23" s="27"/>
      <c r="Q23" s="27"/>
      <c r="R23" s="20"/>
    </row>
    <row r="24" spans="1:38" ht="15" customHeight="1">
      <c r="A24" s="24"/>
      <c r="B24" s="23" t="s">
        <v>28</v>
      </c>
      <c r="C24" s="24" t="s">
        <v>18</v>
      </c>
      <c r="D24" s="23"/>
      <c r="E24" s="23" t="s">
        <v>19</v>
      </c>
      <c r="F24" s="23" t="s">
        <v>268</v>
      </c>
      <c r="G24" s="23" t="s">
        <v>131</v>
      </c>
      <c r="H24" s="25">
        <v>0</v>
      </c>
      <c r="I24" s="1"/>
      <c r="J24" s="26"/>
      <c r="K24" s="27">
        <f t="shared" si="2"/>
        <v>0</v>
      </c>
      <c r="L24" s="27"/>
      <c r="M24" s="27"/>
      <c r="N24" s="1">
        <v>1</v>
      </c>
      <c r="O24" s="27">
        <f t="shared" si="1"/>
        <v>0</v>
      </c>
      <c r="P24" s="27"/>
      <c r="Q24" s="27"/>
      <c r="R24" s="20"/>
    </row>
    <row r="25" spans="1:38" ht="15" customHeight="1">
      <c r="A25" s="24"/>
      <c r="B25" s="23" t="s">
        <v>28</v>
      </c>
      <c r="C25" s="24" t="s">
        <v>18</v>
      </c>
      <c r="D25" s="23"/>
      <c r="E25" s="23" t="s">
        <v>19</v>
      </c>
      <c r="F25" s="23" t="s">
        <v>120</v>
      </c>
      <c r="G25" s="23" t="s">
        <v>122</v>
      </c>
      <c r="H25" s="25">
        <v>0</v>
      </c>
      <c r="I25" s="1"/>
      <c r="J25" s="26"/>
      <c r="K25" s="27">
        <f t="shared" si="2"/>
        <v>0</v>
      </c>
      <c r="L25" s="27"/>
      <c r="M25" s="27"/>
      <c r="N25" s="1"/>
      <c r="O25" s="27">
        <f t="shared" si="1"/>
        <v>0</v>
      </c>
      <c r="P25" s="27"/>
      <c r="Q25" s="27"/>
      <c r="R25" s="20"/>
    </row>
    <row r="26" spans="1:38" ht="29.25" customHeight="1">
      <c r="A26" s="29">
        <v>9</v>
      </c>
      <c r="B26" s="30" t="s">
        <v>29</v>
      </c>
      <c r="C26" s="29" t="s">
        <v>30</v>
      </c>
      <c r="D26" s="30" t="s">
        <v>31</v>
      </c>
      <c r="E26" s="30" t="s">
        <v>32</v>
      </c>
      <c r="F26" s="30" t="s">
        <v>293</v>
      </c>
      <c r="G26" s="30" t="s">
        <v>142</v>
      </c>
      <c r="H26" s="25">
        <v>4</v>
      </c>
      <c r="I26" s="1">
        <v>3</v>
      </c>
      <c r="J26" s="44">
        <v>3</v>
      </c>
      <c r="K26" s="27">
        <f t="shared" si="2"/>
        <v>0</v>
      </c>
      <c r="L26" s="27"/>
      <c r="M26" s="27"/>
      <c r="N26" s="1"/>
      <c r="O26" s="27">
        <f t="shared" si="1"/>
        <v>0</v>
      </c>
      <c r="P26" s="27"/>
      <c r="Q26" s="27"/>
      <c r="R26" s="20"/>
    </row>
    <row r="27" spans="1:38" ht="27.6" customHeight="1">
      <c r="A27" s="24">
        <v>10</v>
      </c>
      <c r="B27" s="23" t="s">
        <v>33</v>
      </c>
      <c r="C27" s="24" t="s">
        <v>52</v>
      </c>
      <c r="D27" s="23" t="s">
        <v>287</v>
      </c>
      <c r="E27" s="23" t="s">
        <v>34</v>
      </c>
      <c r="F27" s="23" t="s">
        <v>123</v>
      </c>
      <c r="G27" s="23" t="s">
        <v>142</v>
      </c>
      <c r="H27" s="25">
        <v>8</v>
      </c>
      <c r="I27" s="1"/>
      <c r="J27" s="44"/>
      <c r="K27" s="27">
        <f t="shared" si="2"/>
        <v>0</v>
      </c>
      <c r="L27" s="27"/>
      <c r="M27" s="27"/>
      <c r="N27" s="1">
        <v>2</v>
      </c>
      <c r="O27" s="27">
        <f t="shared" si="1"/>
        <v>0</v>
      </c>
      <c r="P27" s="27"/>
      <c r="Q27" s="27"/>
      <c r="R27" s="20"/>
    </row>
    <row r="28" spans="1:38" ht="28.15" customHeight="1">
      <c r="A28" s="24"/>
      <c r="B28" s="23" t="s">
        <v>33</v>
      </c>
      <c r="C28" s="24" t="s">
        <v>52</v>
      </c>
      <c r="D28" s="23" t="s">
        <v>287</v>
      </c>
      <c r="E28" s="23" t="s">
        <v>34</v>
      </c>
      <c r="F28" s="23" t="s">
        <v>123</v>
      </c>
      <c r="G28" s="23" t="s">
        <v>136</v>
      </c>
      <c r="H28" s="25">
        <v>2</v>
      </c>
      <c r="I28" s="1"/>
      <c r="J28" s="26"/>
      <c r="K28" s="27">
        <f t="shared" si="2"/>
        <v>0</v>
      </c>
      <c r="L28" s="27"/>
      <c r="M28" s="27"/>
      <c r="N28" s="1"/>
      <c r="O28" s="27">
        <f t="shared" si="1"/>
        <v>0</v>
      </c>
      <c r="P28" s="27"/>
      <c r="Q28" s="27"/>
      <c r="R28" s="20"/>
    </row>
    <row r="29" spans="1:38" s="7" customFormat="1" ht="15" customHeight="1">
      <c r="A29" s="24">
        <v>11</v>
      </c>
      <c r="B29" s="23" t="s">
        <v>35</v>
      </c>
      <c r="C29" s="24" t="s">
        <v>18</v>
      </c>
      <c r="D29" s="23"/>
      <c r="E29" s="23" t="s">
        <v>36</v>
      </c>
      <c r="F29" s="23" t="s">
        <v>292</v>
      </c>
      <c r="G29" s="23" t="s">
        <v>142</v>
      </c>
      <c r="H29" s="25">
        <v>11</v>
      </c>
      <c r="I29" s="1"/>
      <c r="J29" s="26"/>
      <c r="K29" s="27">
        <f t="shared" si="2"/>
        <v>0</v>
      </c>
      <c r="L29" s="27"/>
      <c r="M29" s="27"/>
      <c r="N29" s="1">
        <v>2</v>
      </c>
      <c r="O29" s="27">
        <f t="shared" si="1"/>
        <v>1585.49</v>
      </c>
      <c r="P29" s="27">
        <v>1585.49</v>
      </c>
      <c r="Q29" s="27"/>
      <c r="R29" s="20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1:38" s="18" customFormat="1" ht="15" customHeight="1">
      <c r="A30" s="24"/>
      <c r="B30" s="23" t="s">
        <v>35</v>
      </c>
      <c r="C30" s="24" t="s">
        <v>18</v>
      </c>
      <c r="D30" s="23"/>
      <c r="E30" s="23" t="s">
        <v>36</v>
      </c>
      <c r="F30" s="23" t="s">
        <v>120</v>
      </c>
      <c r="G30" s="23" t="s">
        <v>124</v>
      </c>
      <c r="H30" s="25">
        <v>0</v>
      </c>
      <c r="I30" s="2"/>
      <c r="J30" s="26"/>
      <c r="K30" s="27">
        <f t="shared" si="2"/>
        <v>0</v>
      </c>
      <c r="L30" s="27"/>
      <c r="M30" s="27"/>
      <c r="N30" s="2">
        <v>4</v>
      </c>
      <c r="O30" s="27">
        <f t="shared" si="1"/>
        <v>0</v>
      </c>
      <c r="P30" s="27"/>
      <c r="Q30" s="27"/>
      <c r="R30" s="20"/>
    </row>
    <row r="31" spans="1:38" ht="15" customHeight="1">
      <c r="A31" s="24"/>
      <c r="B31" s="23" t="s">
        <v>35</v>
      </c>
      <c r="C31" s="24" t="s">
        <v>18</v>
      </c>
      <c r="D31" s="23"/>
      <c r="E31" s="23" t="s">
        <v>36</v>
      </c>
      <c r="F31" s="23" t="s">
        <v>359</v>
      </c>
      <c r="G31" s="23" t="s">
        <v>136</v>
      </c>
      <c r="H31" s="25">
        <v>6</v>
      </c>
      <c r="I31" s="2"/>
      <c r="J31" s="26"/>
      <c r="K31" s="27">
        <f t="shared" si="2"/>
        <v>0</v>
      </c>
      <c r="L31" s="27"/>
      <c r="M31" s="27"/>
      <c r="N31" s="2">
        <v>3</v>
      </c>
      <c r="O31" s="27">
        <f t="shared" si="1"/>
        <v>0</v>
      </c>
      <c r="P31" s="27"/>
      <c r="Q31" s="27"/>
      <c r="R31" s="20"/>
    </row>
    <row r="32" spans="1:38" s="7" customFormat="1" ht="15" customHeight="1">
      <c r="A32" s="74">
        <v>12</v>
      </c>
      <c r="B32" s="77" t="s">
        <v>37</v>
      </c>
      <c r="C32" s="74" t="s">
        <v>18</v>
      </c>
      <c r="D32" s="77"/>
      <c r="E32" s="77" t="s">
        <v>38</v>
      </c>
      <c r="F32" s="77" t="s">
        <v>292</v>
      </c>
      <c r="G32" s="77" t="s">
        <v>142</v>
      </c>
      <c r="H32" s="25">
        <v>10</v>
      </c>
      <c r="I32" s="1">
        <v>5</v>
      </c>
      <c r="J32" s="26">
        <v>5</v>
      </c>
      <c r="K32" s="27">
        <f t="shared" si="2"/>
        <v>0</v>
      </c>
      <c r="L32" s="27"/>
      <c r="M32" s="27"/>
      <c r="N32" s="1">
        <v>5</v>
      </c>
      <c r="O32" s="27">
        <f t="shared" si="1"/>
        <v>0</v>
      </c>
      <c r="P32" s="27"/>
      <c r="Q32" s="27"/>
      <c r="R32" s="20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1:38" ht="15" customHeight="1">
      <c r="A33" s="24"/>
      <c r="B33" s="23" t="s">
        <v>37</v>
      </c>
      <c r="C33" s="24" t="s">
        <v>18</v>
      </c>
      <c r="D33" s="23"/>
      <c r="E33" s="23" t="s">
        <v>38</v>
      </c>
      <c r="F33" s="23" t="s">
        <v>374</v>
      </c>
      <c r="G33" s="23" t="s">
        <v>124</v>
      </c>
      <c r="H33" s="25">
        <v>2</v>
      </c>
      <c r="I33" s="2"/>
      <c r="J33" s="26"/>
      <c r="K33" s="27">
        <f t="shared" si="2"/>
        <v>0</v>
      </c>
      <c r="L33" s="27"/>
      <c r="M33" s="27"/>
      <c r="N33" s="2">
        <v>2</v>
      </c>
      <c r="O33" s="27">
        <f t="shared" si="1"/>
        <v>0</v>
      </c>
      <c r="P33" s="27"/>
      <c r="Q33" s="27"/>
      <c r="R33" s="20"/>
    </row>
    <row r="34" spans="1:38" ht="15" customHeight="1">
      <c r="A34" s="24">
        <v>13</v>
      </c>
      <c r="B34" s="23" t="s">
        <v>39</v>
      </c>
      <c r="C34" s="24" t="s">
        <v>18</v>
      </c>
      <c r="D34" s="23"/>
      <c r="E34" s="23" t="s">
        <v>19</v>
      </c>
      <c r="F34" s="23" t="s">
        <v>120</v>
      </c>
      <c r="G34" s="23" t="s">
        <v>142</v>
      </c>
      <c r="H34" s="25">
        <v>0</v>
      </c>
      <c r="I34" s="1"/>
      <c r="J34" s="26"/>
      <c r="K34" s="27">
        <f t="shared" si="2"/>
        <v>0</v>
      </c>
      <c r="L34" s="27"/>
      <c r="M34" s="27"/>
      <c r="N34" s="1">
        <v>3</v>
      </c>
      <c r="O34" s="27">
        <f t="shared" si="1"/>
        <v>3494.69</v>
      </c>
      <c r="P34" s="27">
        <v>3494.69</v>
      </c>
      <c r="Q34" s="27"/>
      <c r="R34" s="20"/>
    </row>
    <row r="35" spans="1:38" ht="15.6" customHeight="1">
      <c r="A35" s="24"/>
      <c r="B35" s="23" t="s">
        <v>39</v>
      </c>
      <c r="C35" s="24" t="s">
        <v>18</v>
      </c>
      <c r="D35" s="23"/>
      <c r="E35" s="23" t="s">
        <v>19</v>
      </c>
      <c r="F35" s="23" t="s">
        <v>292</v>
      </c>
      <c r="G35" s="23" t="s">
        <v>122</v>
      </c>
      <c r="H35" s="25">
        <v>3</v>
      </c>
      <c r="I35" s="1"/>
      <c r="J35" s="26"/>
      <c r="K35" s="27">
        <f t="shared" si="2"/>
        <v>0</v>
      </c>
      <c r="L35" s="27"/>
      <c r="M35" s="27"/>
      <c r="N35" s="1">
        <v>3</v>
      </c>
      <c r="O35" s="27">
        <f t="shared" si="1"/>
        <v>0</v>
      </c>
      <c r="P35" s="27"/>
      <c r="Q35" s="27"/>
      <c r="R35" s="20"/>
    </row>
    <row r="36" spans="1:38" s="7" customFormat="1" ht="15" customHeight="1">
      <c r="A36" s="24">
        <v>14</v>
      </c>
      <c r="B36" s="23" t="s">
        <v>40</v>
      </c>
      <c r="C36" s="24" t="s">
        <v>18</v>
      </c>
      <c r="D36" s="23"/>
      <c r="E36" s="23" t="s">
        <v>41</v>
      </c>
      <c r="F36" s="23" t="s">
        <v>268</v>
      </c>
      <c r="G36" s="23" t="s">
        <v>142</v>
      </c>
      <c r="H36" s="25">
        <v>1</v>
      </c>
      <c r="I36" s="1"/>
      <c r="J36" s="26"/>
      <c r="K36" s="27">
        <f t="shared" si="2"/>
        <v>0</v>
      </c>
      <c r="L36" s="27"/>
      <c r="M36" s="27"/>
      <c r="N36" s="1">
        <v>7</v>
      </c>
      <c r="O36" s="27">
        <f t="shared" si="1"/>
        <v>0</v>
      </c>
      <c r="P36" s="27"/>
      <c r="Q36" s="27"/>
      <c r="R36" s="20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1:38" ht="15" customHeight="1">
      <c r="A37" s="24"/>
      <c r="B37" s="23" t="s">
        <v>40</v>
      </c>
      <c r="C37" s="24" t="s">
        <v>18</v>
      </c>
      <c r="D37" s="23"/>
      <c r="E37" s="23" t="s">
        <v>41</v>
      </c>
      <c r="F37" s="23" t="s">
        <v>360</v>
      </c>
      <c r="G37" s="23" t="s">
        <v>136</v>
      </c>
      <c r="H37" s="25">
        <v>3</v>
      </c>
      <c r="I37" s="2"/>
      <c r="J37" s="26"/>
      <c r="K37" s="27">
        <f t="shared" si="2"/>
        <v>0</v>
      </c>
      <c r="L37" s="27"/>
      <c r="M37" s="27"/>
      <c r="N37" s="2">
        <v>4</v>
      </c>
      <c r="O37" s="27">
        <f t="shared" si="1"/>
        <v>0</v>
      </c>
      <c r="P37" s="27"/>
      <c r="Q37" s="27"/>
      <c r="R37" s="20"/>
    </row>
    <row r="38" spans="1:38" ht="15" customHeight="1">
      <c r="A38" s="74">
        <v>15</v>
      </c>
      <c r="B38" s="77" t="s">
        <v>42</v>
      </c>
      <c r="C38" s="74" t="s">
        <v>18</v>
      </c>
      <c r="D38" s="77"/>
      <c r="E38" s="77" t="s">
        <v>41</v>
      </c>
      <c r="F38" s="77" t="s">
        <v>268</v>
      </c>
      <c r="G38" s="77" t="s">
        <v>142</v>
      </c>
      <c r="H38" s="25">
        <v>8</v>
      </c>
      <c r="I38" s="1"/>
      <c r="J38" s="26"/>
      <c r="K38" s="27">
        <f t="shared" si="2"/>
        <v>0</v>
      </c>
      <c r="L38" s="27"/>
      <c r="M38" s="27"/>
      <c r="N38" s="1">
        <v>6</v>
      </c>
      <c r="O38" s="27">
        <f t="shared" si="1"/>
        <v>0</v>
      </c>
      <c r="P38" s="27"/>
      <c r="Q38" s="27"/>
      <c r="R38" s="20"/>
    </row>
    <row r="39" spans="1:38" ht="15" customHeight="1">
      <c r="A39" s="24"/>
      <c r="B39" s="23" t="s">
        <v>42</v>
      </c>
      <c r="C39" s="24" t="s">
        <v>18</v>
      </c>
      <c r="D39" s="23"/>
      <c r="E39" s="23" t="s">
        <v>41</v>
      </c>
      <c r="F39" s="23" t="s">
        <v>361</v>
      </c>
      <c r="G39" s="23" t="s">
        <v>136</v>
      </c>
      <c r="H39" s="25">
        <v>8</v>
      </c>
      <c r="I39" s="2"/>
      <c r="J39" s="26"/>
      <c r="K39" s="27">
        <f t="shared" si="2"/>
        <v>0</v>
      </c>
      <c r="L39" s="27"/>
      <c r="M39" s="27"/>
      <c r="N39" s="2">
        <v>5</v>
      </c>
      <c r="O39" s="27">
        <f t="shared" si="1"/>
        <v>0</v>
      </c>
      <c r="P39" s="27"/>
      <c r="Q39" s="27"/>
      <c r="R39" s="20"/>
    </row>
    <row r="40" spans="1:38" ht="15" customHeight="1">
      <c r="A40" s="24">
        <v>16</v>
      </c>
      <c r="B40" s="23" t="s">
        <v>43</v>
      </c>
      <c r="C40" s="24" t="s">
        <v>18</v>
      </c>
      <c r="D40" s="23"/>
      <c r="E40" s="23" t="s">
        <v>19</v>
      </c>
      <c r="F40" s="23" t="s">
        <v>268</v>
      </c>
      <c r="G40" s="23" t="s">
        <v>142</v>
      </c>
      <c r="H40" s="25">
        <v>2</v>
      </c>
      <c r="I40" s="1"/>
      <c r="J40" s="26"/>
      <c r="K40" s="27">
        <f t="shared" si="2"/>
        <v>0</v>
      </c>
      <c r="L40" s="27"/>
      <c r="M40" s="27"/>
      <c r="N40" s="1"/>
      <c r="O40" s="27">
        <f t="shared" si="1"/>
        <v>0</v>
      </c>
      <c r="P40" s="27"/>
      <c r="Q40" s="27"/>
      <c r="R40" s="20"/>
    </row>
    <row r="41" spans="1:38" ht="15" customHeight="1">
      <c r="A41" s="24"/>
      <c r="B41" s="23" t="s">
        <v>43</v>
      </c>
      <c r="C41" s="24" t="s">
        <v>18</v>
      </c>
      <c r="D41" s="23"/>
      <c r="E41" s="23" t="s">
        <v>19</v>
      </c>
      <c r="F41" s="23" t="s">
        <v>292</v>
      </c>
      <c r="G41" s="23" t="s">
        <v>122</v>
      </c>
      <c r="H41" s="25">
        <v>3</v>
      </c>
      <c r="I41" s="1"/>
      <c r="J41" s="26"/>
      <c r="K41" s="27">
        <f t="shared" si="2"/>
        <v>0</v>
      </c>
      <c r="L41" s="27"/>
      <c r="M41" s="27"/>
      <c r="N41" s="1">
        <v>1</v>
      </c>
      <c r="O41" s="27">
        <f t="shared" si="1"/>
        <v>1233.4000000000001</v>
      </c>
      <c r="P41" s="27">
        <v>1233.4000000000001</v>
      </c>
      <c r="Q41" s="27"/>
      <c r="R41" s="20"/>
    </row>
    <row r="42" spans="1:38" s="7" customFormat="1" ht="15" customHeight="1">
      <c r="A42" s="24">
        <v>17</v>
      </c>
      <c r="B42" s="23" t="s">
        <v>44</v>
      </c>
      <c r="C42" s="24" t="s">
        <v>18</v>
      </c>
      <c r="D42" s="23"/>
      <c r="E42" s="23" t="s">
        <v>45</v>
      </c>
      <c r="F42" s="23" t="s">
        <v>292</v>
      </c>
      <c r="G42" s="23" t="s">
        <v>142</v>
      </c>
      <c r="H42" s="25">
        <v>4</v>
      </c>
      <c r="I42" s="1"/>
      <c r="J42" s="26"/>
      <c r="K42" s="27">
        <f t="shared" si="2"/>
        <v>0</v>
      </c>
      <c r="L42" s="27"/>
      <c r="M42" s="27"/>
      <c r="N42" s="1"/>
      <c r="O42" s="27">
        <f t="shared" si="1"/>
        <v>1846.54</v>
      </c>
      <c r="P42" s="27">
        <f>877.89+141.04+827.61</f>
        <v>1846.54</v>
      </c>
      <c r="Q42" s="27"/>
      <c r="R42" s="20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 spans="1:38" ht="15" customHeight="1">
      <c r="A43" s="24"/>
      <c r="B43" s="23" t="s">
        <v>126</v>
      </c>
      <c r="C43" s="24" t="s">
        <v>18</v>
      </c>
      <c r="D43" s="23"/>
      <c r="E43" s="23" t="s">
        <v>45</v>
      </c>
      <c r="F43" s="23" t="s">
        <v>318</v>
      </c>
      <c r="G43" s="23" t="s">
        <v>124</v>
      </c>
      <c r="H43" s="25">
        <v>1</v>
      </c>
      <c r="I43" s="2"/>
      <c r="J43" s="26"/>
      <c r="K43" s="27">
        <f t="shared" si="2"/>
        <v>0</v>
      </c>
      <c r="L43" s="27"/>
      <c r="M43" s="27"/>
      <c r="N43" s="2"/>
      <c r="O43" s="27">
        <f t="shared" si="1"/>
        <v>0</v>
      </c>
      <c r="P43" s="27"/>
      <c r="Q43" s="27"/>
      <c r="R43" s="20"/>
    </row>
    <row r="44" spans="1:38" ht="15" customHeight="1">
      <c r="A44" s="24">
        <v>18</v>
      </c>
      <c r="B44" s="23" t="s">
        <v>46</v>
      </c>
      <c r="C44" s="24" t="s">
        <v>18</v>
      </c>
      <c r="D44" s="23"/>
      <c r="E44" s="23" t="s">
        <v>19</v>
      </c>
      <c r="F44" s="23" t="s">
        <v>120</v>
      </c>
      <c r="G44" s="23" t="s">
        <v>142</v>
      </c>
      <c r="H44" s="25">
        <v>0</v>
      </c>
      <c r="I44" s="1"/>
      <c r="J44" s="26"/>
      <c r="K44" s="27">
        <f t="shared" si="2"/>
        <v>0</v>
      </c>
      <c r="L44" s="27"/>
      <c r="M44" s="27"/>
      <c r="N44" s="1">
        <v>4</v>
      </c>
      <c r="O44" s="27">
        <f t="shared" si="1"/>
        <v>0</v>
      </c>
      <c r="P44" s="27"/>
      <c r="Q44" s="27"/>
      <c r="R44" s="20"/>
    </row>
    <row r="45" spans="1:38" ht="15.6" customHeight="1">
      <c r="A45" s="24"/>
      <c r="B45" s="23" t="s">
        <v>46</v>
      </c>
      <c r="C45" s="24" t="s">
        <v>18</v>
      </c>
      <c r="D45" s="23"/>
      <c r="E45" s="23" t="s">
        <v>19</v>
      </c>
      <c r="F45" s="23" t="s">
        <v>355</v>
      </c>
      <c r="G45" s="23" t="s">
        <v>122</v>
      </c>
      <c r="H45" s="25">
        <v>0</v>
      </c>
      <c r="I45" s="1"/>
      <c r="J45" s="26"/>
      <c r="K45" s="27">
        <f t="shared" si="2"/>
        <v>0</v>
      </c>
      <c r="L45" s="27"/>
      <c r="M45" s="27"/>
      <c r="N45" s="1">
        <v>2</v>
      </c>
      <c r="O45" s="27">
        <f t="shared" si="1"/>
        <v>0</v>
      </c>
      <c r="P45" s="27"/>
      <c r="Q45" s="27"/>
      <c r="R45" s="20"/>
    </row>
    <row r="46" spans="1:38" ht="15" customHeight="1">
      <c r="A46" s="74">
        <v>19</v>
      </c>
      <c r="B46" s="77" t="s">
        <v>47</v>
      </c>
      <c r="C46" s="74" t="s">
        <v>18</v>
      </c>
      <c r="D46" s="77"/>
      <c r="E46" s="77" t="s">
        <v>19</v>
      </c>
      <c r="F46" s="77" t="s">
        <v>292</v>
      </c>
      <c r="G46" s="77" t="s">
        <v>142</v>
      </c>
      <c r="H46" s="25">
        <v>0</v>
      </c>
      <c r="I46" s="1"/>
      <c r="J46" s="26"/>
      <c r="K46" s="27">
        <f t="shared" si="2"/>
        <v>0</v>
      </c>
      <c r="L46" s="27"/>
      <c r="M46" s="27"/>
      <c r="N46" s="1">
        <v>4</v>
      </c>
      <c r="O46" s="27">
        <f t="shared" si="1"/>
        <v>0</v>
      </c>
      <c r="P46" s="27"/>
      <c r="Q46" s="27"/>
      <c r="R46" s="20"/>
    </row>
    <row r="47" spans="1:38" ht="13.9" customHeight="1">
      <c r="A47" s="24"/>
      <c r="B47" s="23" t="s">
        <v>47</v>
      </c>
      <c r="C47" s="24" t="s">
        <v>18</v>
      </c>
      <c r="D47" s="23"/>
      <c r="E47" s="23" t="s">
        <v>19</v>
      </c>
      <c r="F47" s="23" t="s">
        <v>354</v>
      </c>
      <c r="G47" s="23" t="s">
        <v>122</v>
      </c>
      <c r="H47" s="25">
        <v>1</v>
      </c>
      <c r="I47" s="1"/>
      <c r="J47" s="26"/>
      <c r="K47" s="27">
        <f t="shared" si="2"/>
        <v>0</v>
      </c>
      <c r="L47" s="27"/>
      <c r="M47" s="27"/>
      <c r="N47" s="1">
        <v>4</v>
      </c>
      <c r="O47" s="27">
        <f t="shared" si="1"/>
        <v>0</v>
      </c>
      <c r="P47" s="27"/>
      <c r="Q47" s="27"/>
      <c r="R47" s="20"/>
    </row>
    <row r="48" spans="1:38">
      <c r="A48" s="24">
        <v>20</v>
      </c>
      <c r="B48" s="23" t="s">
        <v>316</v>
      </c>
      <c r="C48" s="24" t="s">
        <v>18</v>
      </c>
      <c r="D48" s="23"/>
      <c r="E48" s="23" t="s">
        <v>19</v>
      </c>
      <c r="F48" s="23" t="s">
        <v>268</v>
      </c>
      <c r="G48" s="23" t="s">
        <v>142</v>
      </c>
      <c r="H48" s="25">
        <v>2</v>
      </c>
      <c r="I48" s="1"/>
      <c r="J48" s="26"/>
      <c r="K48" s="27">
        <f t="shared" si="2"/>
        <v>0</v>
      </c>
      <c r="L48" s="27"/>
      <c r="M48" s="27"/>
      <c r="N48" s="1"/>
      <c r="O48" s="27">
        <f t="shared" si="1"/>
        <v>0</v>
      </c>
      <c r="P48" s="27"/>
      <c r="Q48" s="27"/>
      <c r="R48" s="20"/>
    </row>
    <row r="49" spans="1:38" s="28" customFormat="1" ht="13.9" customHeight="1">
      <c r="A49" s="24"/>
      <c r="B49" s="23" t="s">
        <v>316</v>
      </c>
      <c r="C49" s="24" t="s">
        <v>18</v>
      </c>
      <c r="D49" s="23"/>
      <c r="E49" s="23" t="s">
        <v>19</v>
      </c>
      <c r="F49" s="23" t="s">
        <v>353</v>
      </c>
      <c r="G49" s="23" t="s">
        <v>122</v>
      </c>
      <c r="H49" s="25">
        <v>3</v>
      </c>
      <c r="I49" s="1"/>
      <c r="J49" s="26"/>
      <c r="K49" s="27">
        <f t="shared" si="2"/>
        <v>0</v>
      </c>
      <c r="L49" s="27"/>
      <c r="M49" s="27"/>
      <c r="N49" s="1"/>
      <c r="O49" s="27">
        <f t="shared" si="1"/>
        <v>0</v>
      </c>
      <c r="P49" s="27"/>
      <c r="Q49" s="27"/>
      <c r="R49" s="31"/>
    </row>
    <row r="50" spans="1:38" ht="15" customHeight="1">
      <c r="A50" s="24">
        <v>21</v>
      </c>
      <c r="B50" s="23" t="s">
        <v>48</v>
      </c>
      <c r="C50" s="24" t="s">
        <v>18</v>
      </c>
      <c r="D50" s="23"/>
      <c r="E50" s="23" t="s">
        <v>19</v>
      </c>
      <c r="F50" s="23" t="s">
        <v>295</v>
      </c>
      <c r="G50" s="23" t="s">
        <v>142</v>
      </c>
      <c r="H50" s="25">
        <v>7</v>
      </c>
      <c r="I50" s="1">
        <v>6</v>
      </c>
      <c r="J50" s="26">
        <v>6</v>
      </c>
      <c r="K50" s="27">
        <f t="shared" si="2"/>
        <v>0</v>
      </c>
      <c r="L50" s="27"/>
      <c r="M50" s="27"/>
      <c r="N50" s="1">
        <v>4</v>
      </c>
      <c r="O50" s="27">
        <f t="shared" si="1"/>
        <v>6837.93</v>
      </c>
      <c r="P50" s="27">
        <v>6837.93</v>
      </c>
      <c r="Q50" s="27"/>
      <c r="R50" s="20"/>
    </row>
    <row r="51" spans="1:38" ht="15" customHeight="1">
      <c r="A51" s="24"/>
      <c r="B51" s="23" t="s">
        <v>48</v>
      </c>
      <c r="C51" s="24" t="s">
        <v>18</v>
      </c>
      <c r="D51" s="23"/>
      <c r="E51" s="23" t="s">
        <v>19</v>
      </c>
      <c r="F51" s="23" t="s">
        <v>120</v>
      </c>
      <c r="G51" s="23" t="s">
        <v>122</v>
      </c>
      <c r="H51" s="25">
        <v>0</v>
      </c>
      <c r="I51" s="1"/>
      <c r="J51" s="26"/>
      <c r="K51" s="27">
        <f t="shared" si="2"/>
        <v>0</v>
      </c>
      <c r="L51" s="27"/>
      <c r="M51" s="27"/>
      <c r="N51" s="1"/>
      <c r="O51" s="27">
        <f t="shared" si="1"/>
        <v>0</v>
      </c>
      <c r="P51" s="27"/>
      <c r="Q51" s="27"/>
      <c r="R51" s="20"/>
    </row>
    <row r="52" spans="1:38" ht="15" customHeight="1">
      <c r="A52" s="24">
        <v>22</v>
      </c>
      <c r="B52" s="23" t="s">
        <v>49</v>
      </c>
      <c r="C52" s="24" t="s">
        <v>18</v>
      </c>
      <c r="D52" s="23"/>
      <c r="E52" s="23" t="s">
        <v>19</v>
      </c>
      <c r="F52" s="23" t="s">
        <v>120</v>
      </c>
      <c r="G52" s="23" t="s">
        <v>142</v>
      </c>
      <c r="H52" s="25">
        <v>4</v>
      </c>
      <c r="I52" s="1"/>
      <c r="J52" s="26"/>
      <c r="K52" s="27">
        <f t="shared" si="2"/>
        <v>0</v>
      </c>
      <c r="L52" s="27"/>
      <c r="M52" s="27"/>
      <c r="N52" s="1"/>
      <c r="O52" s="27">
        <f t="shared" si="1"/>
        <v>0</v>
      </c>
      <c r="P52" s="27"/>
      <c r="Q52" s="27"/>
      <c r="R52" s="20"/>
    </row>
    <row r="53" spans="1:38" s="7" customFormat="1" ht="15" customHeight="1">
      <c r="A53" s="24">
        <v>23</v>
      </c>
      <c r="B53" s="23" t="s">
        <v>138</v>
      </c>
      <c r="C53" s="24" t="s">
        <v>18</v>
      </c>
      <c r="D53" s="23"/>
      <c r="E53" s="23" t="s">
        <v>34</v>
      </c>
      <c r="F53" s="23" t="s">
        <v>292</v>
      </c>
      <c r="G53" s="23" t="s">
        <v>142</v>
      </c>
      <c r="H53" s="25">
        <v>5</v>
      </c>
      <c r="I53" s="1"/>
      <c r="J53" s="26"/>
      <c r="K53" s="27">
        <f t="shared" si="2"/>
        <v>0</v>
      </c>
      <c r="L53" s="27"/>
      <c r="M53" s="27"/>
      <c r="N53" s="1">
        <v>1</v>
      </c>
      <c r="O53" s="27">
        <f t="shared" si="1"/>
        <v>10258.950000000001</v>
      </c>
      <c r="P53" s="27">
        <v>10258.950000000001</v>
      </c>
      <c r="Q53" s="27"/>
      <c r="R53" s="20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 spans="1:38" ht="15" customHeight="1">
      <c r="A54" s="24"/>
      <c r="B54" s="23" t="s">
        <v>138</v>
      </c>
      <c r="C54" s="24" t="s">
        <v>18</v>
      </c>
      <c r="D54" s="23"/>
      <c r="E54" s="23" t="s">
        <v>34</v>
      </c>
      <c r="F54" s="23" t="s">
        <v>268</v>
      </c>
      <c r="G54" s="23" t="s">
        <v>136</v>
      </c>
      <c r="H54" s="25">
        <v>4</v>
      </c>
      <c r="I54" s="2"/>
      <c r="J54" s="26"/>
      <c r="K54" s="27">
        <f t="shared" si="2"/>
        <v>0</v>
      </c>
      <c r="L54" s="27"/>
      <c r="M54" s="27"/>
      <c r="N54" s="2"/>
      <c r="O54" s="27">
        <f t="shared" si="1"/>
        <v>0</v>
      </c>
      <c r="P54" s="27"/>
      <c r="Q54" s="27"/>
      <c r="R54" s="20"/>
    </row>
    <row r="55" spans="1:38" ht="15" customHeight="1">
      <c r="A55" s="24">
        <v>24</v>
      </c>
      <c r="B55" s="23" t="s">
        <v>320</v>
      </c>
      <c r="C55" s="24" t="s">
        <v>18</v>
      </c>
      <c r="D55" s="23"/>
      <c r="E55" s="23" t="s">
        <v>36</v>
      </c>
      <c r="F55" s="23" t="s">
        <v>321</v>
      </c>
      <c r="G55" s="23" t="s">
        <v>124</v>
      </c>
      <c r="H55" s="25">
        <v>1</v>
      </c>
      <c r="I55" s="2"/>
      <c r="J55" s="26"/>
      <c r="K55" s="27">
        <f t="shared" si="2"/>
        <v>0</v>
      </c>
      <c r="L55" s="27"/>
      <c r="M55" s="27"/>
      <c r="N55" s="2"/>
      <c r="O55" s="27">
        <f t="shared" si="1"/>
        <v>0</v>
      </c>
      <c r="P55" s="27"/>
      <c r="Q55" s="27"/>
      <c r="R55" s="20"/>
    </row>
    <row r="56" spans="1:38" s="8" customFormat="1">
      <c r="A56" s="78">
        <v>25</v>
      </c>
      <c r="B56" s="79" t="s">
        <v>147</v>
      </c>
      <c r="C56" s="80" t="s">
        <v>18</v>
      </c>
      <c r="D56" s="79"/>
      <c r="E56" s="79" t="s">
        <v>50</v>
      </c>
      <c r="F56" s="79"/>
      <c r="G56" s="79" t="s">
        <v>142</v>
      </c>
      <c r="H56" s="81">
        <v>0</v>
      </c>
      <c r="I56" s="82"/>
      <c r="J56" s="26"/>
      <c r="K56" s="27">
        <f t="shared" si="2"/>
        <v>0</v>
      </c>
      <c r="L56" s="83"/>
      <c r="M56" s="83"/>
      <c r="N56" s="26"/>
      <c r="O56" s="27">
        <f t="shared" si="1"/>
        <v>0</v>
      </c>
      <c r="P56" s="78"/>
      <c r="Q56" s="84"/>
      <c r="R56" s="20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8" customFormat="1">
      <c r="A57" s="78">
        <v>26</v>
      </c>
      <c r="B57" s="79" t="s">
        <v>379</v>
      </c>
      <c r="C57" s="80" t="s">
        <v>52</v>
      </c>
      <c r="D57" s="79" t="s">
        <v>378</v>
      </c>
      <c r="E57" s="79" t="s">
        <v>19</v>
      </c>
      <c r="F57" s="79"/>
      <c r="G57" s="79" t="s">
        <v>142</v>
      </c>
      <c r="H57" s="81">
        <v>3</v>
      </c>
      <c r="I57" s="82"/>
      <c r="J57" s="26"/>
      <c r="K57" s="27">
        <f t="shared" si="2"/>
        <v>0</v>
      </c>
      <c r="L57" s="83"/>
      <c r="M57" s="83"/>
      <c r="N57" s="26"/>
      <c r="O57" s="27">
        <f t="shared" si="1"/>
        <v>0</v>
      </c>
      <c r="P57" s="78"/>
      <c r="Q57" s="84"/>
      <c r="R57" s="20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8" customFormat="1">
      <c r="A58" s="78">
        <v>27</v>
      </c>
      <c r="B58" s="79" t="s">
        <v>332</v>
      </c>
      <c r="C58" s="80" t="s">
        <v>18</v>
      </c>
      <c r="D58" s="79"/>
      <c r="E58" s="79" t="s">
        <v>300</v>
      </c>
      <c r="F58" s="79" t="s">
        <v>268</v>
      </c>
      <c r="G58" s="79" t="s">
        <v>142</v>
      </c>
      <c r="H58" s="81">
        <v>7</v>
      </c>
      <c r="I58" s="82"/>
      <c r="J58" s="26"/>
      <c r="K58" s="27">
        <f t="shared" si="2"/>
        <v>0</v>
      </c>
      <c r="L58" s="83"/>
      <c r="M58" s="83"/>
      <c r="N58" s="26"/>
      <c r="O58" s="27">
        <f t="shared" si="1"/>
        <v>0</v>
      </c>
      <c r="P58" s="78"/>
      <c r="Q58" s="84"/>
      <c r="R58" s="20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s="7" customFormat="1" ht="24.75" customHeight="1">
      <c r="A59" s="29">
        <v>28</v>
      </c>
      <c r="B59" s="30" t="s">
        <v>51</v>
      </c>
      <c r="C59" s="29" t="s">
        <v>52</v>
      </c>
      <c r="D59" s="30" t="s">
        <v>53</v>
      </c>
      <c r="E59" s="30" t="s">
        <v>19</v>
      </c>
      <c r="F59" s="30" t="s">
        <v>292</v>
      </c>
      <c r="G59" s="30" t="s">
        <v>142</v>
      </c>
      <c r="H59" s="25">
        <v>14</v>
      </c>
      <c r="I59" s="1">
        <v>3</v>
      </c>
      <c r="J59" s="26">
        <v>3</v>
      </c>
      <c r="K59" s="27">
        <f t="shared" si="2"/>
        <v>0</v>
      </c>
      <c r="L59" s="27"/>
      <c r="M59" s="27"/>
      <c r="N59" s="1">
        <v>13</v>
      </c>
      <c r="O59" s="27">
        <f t="shared" si="1"/>
        <v>2817.33</v>
      </c>
      <c r="P59" s="27">
        <v>2817.33</v>
      </c>
      <c r="Q59" s="27"/>
      <c r="R59" s="20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 spans="1:38" ht="15" customHeight="1">
      <c r="A60" s="24">
        <v>29</v>
      </c>
      <c r="B60" s="23" t="s">
        <v>54</v>
      </c>
      <c r="C60" s="24" t="s">
        <v>18</v>
      </c>
      <c r="D60" s="23"/>
      <c r="E60" s="23" t="s">
        <v>19</v>
      </c>
      <c r="F60" s="23" t="s">
        <v>120</v>
      </c>
      <c r="G60" s="23" t="s">
        <v>142</v>
      </c>
      <c r="H60" s="25">
        <v>11</v>
      </c>
      <c r="I60" s="1">
        <v>3</v>
      </c>
      <c r="J60" s="26">
        <v>3</v>
      </c>
      <c r="K60" s="27">
        <f t="shared" si="2"/>
        <v>0</v>
      </c>
      <c r="L60" s="27"/>
      <c r="M60" s="27"/>
      <c r="N60" s="1">
        <v>5</v>
      </c>
      <c r="O60" s="27">
        <f t="shared" si="1"/>
        <v>0</v>
      </c>
      <c r="P60" s="27"/>
      <c r="Q60" s="27"/>
      <c r="R60" s="20"/>
    </row>
    <row r="61" spans="1:38" ht="15" customHeight="1">
      <c r="A61" s="24"/>
      <c r="B61" s="23" t="s">
        <v>54</v>
      </c>
      <c r="C61" s="24" t="s">
        <v>18</v>
      </c>
      <c r="D61" s="23"/>
      <c r="E61" s="23" t="s">
        <v>19</v>
      </c>
      <c r="F61" s="23" t="s">
        <v>292</v>
      </c>
      <c r="G61" s="23" t="s">
        <v>122</v>
      </c>
      <c r="H61" s="25">
        <v>4</v>
      </c>
      <c r="I61" s="1"/>
      <c r="J61" s="26"/>
      <c r="K61" s="27">
        <f t="shared" si="2"/>
        <v>0</v>
      </c>
      <c r="L61" s="27"/>
      <c r="M61" s="27"/>
      <c r="N61" s="1">
        <v>4</v>
      </c>
      <c r="O61" s="27">
        <f t="shared" si="1"/>
        <v>0</v>
      </c>
      <c r="P61" s="27"/>
      <c r="Q61" s="27"/>
      <c r="R61" s="20"/>
    </row>
    <row r="62" spans="1:38" s="7" customFormat="1" ht="15" customHeight="1">
      <c r="A62" s="24">
        <v>30</v>
      </c>
      <c r="B62" s="23" t="s">
        <v>55</v>
      </c>
      <c r="C62" s="24" t="s">
        <v>18</v>
      </c>
      <c r="D62" s="23"/>
      <c r="E62" s="23" t="s">
        <v>19</v>
      </c>
      <c r="F62" s="23" t="s">
        <v>292</v>
      </c>
      <c r="G62" s="23" t="s">
        <v>142</v>
      </c>
      <c r="H62" s="25">
        <v>4</v>
      </c>
      <c r="I62" s="1"/>
      <c r="J62" s="26"/>
      <c r="K62" s="27">
        <f t="shared" si="2"/>
        <v>0</v>
      </c>
      <c r="L62" s="27"/>
      <c r="M62" s="27"/>
      <c r="N62" s="1">
        <v>4</v>
      </c>
      <c r="O62" s="27">
        <f t="shared" si="1"/>
        <v>3793.8</v>
      </c>
      <c r="P62" s="27">
        <v>3793.8</v>
      </c>
      <c r="Q62" s="27"/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 spans="1:38" ht="15.6" customHeight="1">
      <c r="A63" s="24"/>
      <c r="B63" s="23" t="s">
        <v>55</v>
      </c>
      <c r="C63" s="24" t="s">
        <v>18</v>
      </c>
      <c r="D63" s="23"/>
      <c r="E63" s="23" t="s">
        <v>19</v>
      </c>
      <c r="F63" s="23" t="s">
        <v>352</v>
      </c>
      <c r="G63" s="23" t="s">
        <v>122</v>
      </c>
      <c r="H63" s="25">
        <v>5</v>
      </c>
      <c r="I63" s="1"/>
      <c r="J63" s="26"/>
      <c r="K63" s="27">
        <f t="shared" si="2"/>
        <v>0</v>
      </c>
      <c r="L63" s="27"/>
      <c r="M63" s="27"/>
      <c r="N63" s="1">
        <v>4</v>
      </c>
      <c r="O63" s="27">
        <f t="shared" si="1"/>
        <v>881</v>
      </c>
      <c r="P63" s="27">
        <v>881</v>
      </c>
      <c r="Q63" s="27"/>
      <c r="R63" s="20"/>
    </row>
    <row r="64" spans="1:38" s="7" customFormat="1" ht="15" customHeight="1">
      <c r="A64" s="24">
        <v>31</v>
      </c>
      <c r="B64" s="23" t="s">
        <v>56</v>
      </c>
      <c r="C64" s="24" t="s">
        <v>52</v>
      </c>
      <c r="D64" s="23" t="s">
        <v>57</v>
      </c>
      <c r="E64" s="23" t="s">
        <v>19</v>
      </c>
      <c r="F64" s="23" t="s">
        <v>120</v>
      </c>
      <c r="G64" s="23" t="s">
        <v>142</v>
      </c>
      <c r="H64" s="25">
        <v>4</v>
      </c>
      <c r="I64" s="1"/>
      <c r="J64" s="26"/>
      <c r="K64" s="27">
        <f t="shared" si="2"/>
        <v>0</v>
      </c>
      <c r="L64" s="27"/>
      <c r="M64" s="27"/>
      <c r="N64" s="1">
        <v>4</v>
      </c>
      <c r="O64" s="27">
        <f t="shared" si="1"/>
        <v>0</v>
      </c>
      <c r="P64" s="27"/>
      <c r="Q64" s="27"/>
      <c r="R64" s="20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1:38" s="7" customFormat="1" ht="15" customHeight="1">
      <c r="A65" s="24">
        <v>32</v>
      </c>
      <c r="B65" s="23" t="s">
        <v>58</v>
      </c>
      <c r="C65" s="24" t="s">
        <v>18</v>
      </c>
      <c r="D65" s="23"/>
      <c r="E65" s="23" t="s">
        <v>19</v>
      </c>
      <c r="F65" s="23" t="s">
        <v>292</v>
      </c>
      <c r="G65" s="23" t="s">
        <v>142</v>
      </c>
      <c r="H65" s="25">
        <v>5</v>
      </c>
      <c r="I65" s="1">
        <v>3</v>
      </c>
      <c r="J65" s="26">
        <v>3</v>
      </c>
      <c r="K65" s="27">
        <f t="shared" si="2"/>
        <v>0</v>
      </c>
      <c r="L65" s="27"/>
      <c r="M65" s="27"/>
      <c r="N65" s="1">
        <v>5</v>
      </c>
      <c r="O65" s="27">
        <f t="shared" si="1"/>
        <v>1353.94</v>
      </c>
      <c r="P65" s="27">
        <v>1353.94</v>
      </c>
      <c r="Q65" s="27"/>
      <c r="R65" s="20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 spans="1:38" s="7" customFormat="1" ht="15" customHeight="1">
      <c r="A66" s="24"/>
      <c r="B66" s="23" t="s">
        <v>58</v>
      </c>
      <c r="C66" s="24" t="s">
        <v>18</v>
      </c>
      <c r="D66" s="23"/>
      <c r="E66" s="23" t="s">
        <v>19</v>
      </c>
      <c r="F66" s="23" t="s">
        <v>292</v>
      </c>
      <c r="G66" s="23" t="s">
        <v>122</v>
      </c>
      <c r="H66" s="25">
        <v>2</v>
      </c>
      <c r="I66" s="1"/>
      <c r="J66" s="26"/>
      <c r="K66" s="27">
        <f t="shared" si="2"/>
        <v>0</v>
      </c>
      <c r="L66" s="27"/>
      <c r="M66" s="27"/>
      <c r="N66" s="1">
        <v>3</v>
      </c>
      <c r="O66" s="27">
        <f t="shared" si="1"/>
        <v>0</v>
      </c>
      <c r="P66" s="27"/>
      <c r="Q66" s="27"/>
      <c r="R66" s="20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 spans="1:38" ht="15" customHeight="1">
      <c r="A67" s="24">
        <v>33</v>
      </c>
      <c r="B67" s="23" t="s">
        <v>59</v>
      </c>
      <c r="C67" s="24" t="s">
        <v>18</v>
      </c>
      <c r="D67" s="23"/>
      <c r="E67" s="23" t="s">
        <v>60</v>
      </c>
      <c r="F67" s="23" t="s">
        <v>292</v>
      </c>
      <c r="G67" s="23" t="s">
        <v>142</v>
      </c>
      <c r="H67" s="25">
        <v>6</v>
      </c>
      <c r="I67" s="1"/>
      <c r="J67" s="26"/>
      <c r="K67" s="27">
        <f t="shared" si="2"/>
        <v>0</v>
      </c>
      <c r="L67" s="27"/>
      <c r="M67" s="27"/>
      <c r="N67" s="1">
        <v>1</v>
      </c>
      <c r="O67" s="27">
        <f t="shared" si="1"/>
        <v>0</v>
      </c>
      <c r="P67" s="27"/>
      <c r="Q67" s="27"/>
      <c r="R67" s="20"/>
    </row>
    <row r="68" spans="1:38" ht="15" customHeight="1">
      <c r="A68" s="24"/>
      <c r="B68" s="23" t="s">
        <v>139</v>
      </c>
      <c r="C68" s="24" t="s">
        <v>18</v>
      </c>
      <c r="D68" s="23"/>
      <c r="E68" s="23" t="s">
        <v>60</v>
      </c>
      <c r="F68" s="23" t="s">
        <v>362</v>
      </c>
      <c r="G68" s="23" t="s">
        <v>136</v>
      </c>
      <c r="H68" s="25">
        <v>6</v>
      </c>
      <c r="I68" s="2"/>
      <c r="J68" s="26"/>
      <c r="K68" s="27">
        <f t="shared" si="2"/>
        <v>0</v>
      </c>
      <c r="L68" s="27"/>
      <c r="M68" s="27"/>
      <c r="N68" s="2"/>
      <c r="O68" s="27">
        <f t="shared" si="1"/>
        <v>0</v>
      </c>
      <c r="P68" s="27"/>
      <c r="Q68" s="27"/>
      <c r="R68" s="20"/>
    </row>
    <row r="69" spans="1:38" ht="15" customHeight="1">
      <c r="A69" s="24">
        <v>34</v>
      </c>
      <c r="B69" s="23" t="s">
        <v>333</v>
      </c>
      <c r="C69" s="24" t="s">
        <v>18</v>
      </c>
      <c r="D69" s="23"/>
      <c r="E69" s="23" t="s">
        <v>104</v>
      </c>
      <c r="F69" s="23" t="s">
        <v>268</v>
      </c>
      <c r="G69" s="23" t="s">
        <v>142</v>
      </c>
      <c r="H69" s="25">
        <v>4</v>
      </c>
      <c r="I69" s="2"/>
      <c r="J69" s="26"/>
      <c r="K69" s="27">
        <f t="shared" si="2"/>
        <v>0</v>
      </c>
      <c r="L69" s="27"/>
      <c r="M69" s="27"/>
      <c r="N69" s="2"/>
      <c r="O69" s="27">
        <f t="shared" si="1"/>
        <v>0</v>
      </c>
      <c r="P69" s="27"/>
      <c r="Q69" s="27"/>
      <c r="R69" s="20"/>
    </row>
    <row r="70" spans="1:38" s="7" customFormat="1" ht="15" customHeight="1">
      <c r="A70" s="24">
        <v>35</v>
      </c>
      <c r="B70" s="23" t="s">
        <v>61</v>
      </c>
      <c r="C70" s="24" t="s">
        <v>18</v>
      </c>
      <c r="D70" s="23"/>
      <c r="E70" s="23" t="s">
        <v>41</v>
      </c>
      <c r="F70" s="23" t="s">
        <v>268</v>
      </c>
      <c r="G70" s="23" t="s">
        <v>142</v>
      </c>
      <c r="H70" s="25">
        <v>6</v>
      </c>
      <c r="I70" s="1">
        <v>2</v>
      </c>
      <c r="J70" s="26">
        <v>2</v>
      </c>
      <c r="K70" s="27">
        <f t="shared" si="2"/>
        <v>0</v>
      </c>
      <c r="L70" s="27"/>
      <c r="M70" s="27"/>
      <c r="N70" s="1">
        <v>10</v>
      </c>
      <c r="O70" s="27">
        <f t="shared" si="1"/>
        <v>12247.679999999998</v>
      </c>
      <c r="P70" s="27">
        <f>8536.41+1900.55+1810.72</f>
        <v>12247.679999999998</v>
      </c>
      <c r="Q70" s="27"/>
      <c r="R70" s="20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</row>
    <row r="71" spans="1:38" ht="15" customHeight="1">
      <c r="A71" s="24"/>
      <c r="B71" s="23" t="s">
        <v>61</v>
      </c>
      <c r="C71" s="24" t="s">
        <v>18</v>
      </c>
      <c r="D71" s="23"/>
      <c r="E71" s="23" t="s">
        <v>41</v>
      </c>
      <c r="F71" s="23" t="s">
        <v>292</v>
      </c>
      <c r="G71" s="23" t="s">
        <v>136</v>
      </c>
      <c r="H71" s="25">
        <v>0</v>
      </c>
      <c r="I71" s="2"/>
      <c r="J71" s="26"/>
      <c r="K71" s="27">
        <f t="shared" si="2"/>
        <v>0</v>
      </c>
      <c r="L71" s="27"/>
      <c r="M71" s="27"/>
      <c r="N71" s="2"/>
      <c r="O71" s="27">
        <f t="shared" si="1"/>
        <v>0</v>
      </c>
      <c r="P71" s="27"/>
      <c r="Q71" s="27"/>
      <c r="R71" s="20"/>
    </row>
    <row r="72" spans="1:38" ht="15" customHeight="1">
      <c r="A72" s="24">
        <v>36</v>
      </c>
      <c r="B72" s="23" t="s">
        <v>62</v>
      </c>
      <c r="C72" s="24" t="s">
        <v>18</v>
      </c>
      <c r="D72" s="23"/>
      <c r="E72" s="23" t="s">
        <v>19</v>
      </c>
      <c r="F72" s="23" t="s">
        <v>292</v>
      </c>
      <c r="G72" s="23" t="s">
        <v>142</v>
      </c>
      <c r="H72" s="25">
        <v>11</v>
      </c>
      <c r="I72" s="1">
        <v>5</v>
      </c>
      <c r="J72" s="26">
        <v>5</v>
      </c>
      <c r="K72" s="27">
        <f t="shared" si="2"/>
        <v>0</v>
      </c>
      <c r="L72" s="27"/>
      <c r="M72" s="27"/>
      <c r="N72" s="1">
        <v>4</v>
      </c>
      <c r="O72" s="27">
        <f t="shared" si="1"/>
        <v>21507.190000000002</v>
      </c>
      <c r="P72" s="27">
        <f>4688.79+16818.4</f>
        <v>21507.190000000002</v>
      </c>
      <c r="Q72" s="27"/>
      <c r="R72" s="20"/>
    </row>
    <row r="73" spans="1:38" ht="15" customHeight="1">
      <c r="A73" s="24"/>
      <c r="B73" s="23" t="s">
        <v>62</v>
      </c>
      <c r="C73" s="24" t="s">
        <v>18</v>
      </c>
      <c r="D73" s="23"/>
      <c r="E73" s="23" t="s">
        <v>19</v>
      </c>
      <c r="F73" s="23" t="s">
        <v>277</v>
      </c>
      <c r="G73" s="23" t="s">
        <v>124</v>
      </c>
      <c r="H73" s="25">
        <v>0</v>
      </c>
      <c r="I73" s="1"/>
      <c r="J73" s="26"/>
      <c r="K73" s="27">
        <f t="shared" si="2"/>
        <v>0</v>
      </c>
      <c r="L73" s="27"/>
      <c r="M73" s="27"/>
      <c r="N73" s="1"/>
      <c r="O73" s="27">
        <f t="shared" si="1"/>
        <v>0</v>
      </c>
      <c r="P73" s="27"/>
      <c r="Q73" s="27"/>
      <c r="R73" s="20"/>
    </row>
    <row r="74" spans="1:38" ht="15" customHeight="1">
      <c r="A74" s="24"/>
      <c r="B74" s="23" t="s">
        <v>62</v>
      </c>
      <c r="C74" s="24" t="s">
        <v>18</v>
      </c>
      <c r="D74" s="23"/>
      <c r="E74" s="23" t="s">
        <v>19</v>
      </c>
      <c r="F74" s="23" t="s">
        <v>120</v>
      </c>
      <c r="G74" s="23" t="s">
        <v>122</v>
      </c>
      <c r="H74" s="25">
        <v>2</v>
      </c>
      <c r="I74" s="1"/>
      <c r="J74" s="26"/>
      <c r="K74" s="27">
        <f t="shared" si="2"/>
        <v>0</v>
      </c>
      <c r="L74" s="27"/>
      <c r="M74" s="27"/>
      <c r="N74" s="1">
        <v>5</v>
      </c>
      <c r="O74" s="27">
        <f t="shared" si="1"/>
        <v>0</v>
      </c>
      <c r="P74" s="27"/>
      <c r="Q74" s="27"/>
      <c r="R74" s="20"/>
    </row>
    <row r="75" spans="1:38" ht="15" customHeight="1">
      <c r="A75" s="24"/>
      <c r="B75" s="23" t="s">
        <v>62</v>
      </c>
      <c r="C75" s="24" t="s">
        <v>18</v>
      </c>
      <c r="D75" s="23"/>
      <c r="E75" s="23" t="s">
        <v>19</v>
      </c>
      <c r="F75" s="23" t="s">
        <v>292</v>
      </c>
      <c r="G75" s="23" t="s">
        <v>210</v>
      </c>
      <c r="H75" s="25">
        <v>2</v>
      </c>
      <c r="I75" s="1"/>
      <c r="J75" s="26"/>
      <c r="K75" s="27">
        <f t="shared" si="2"/>
        <v>0</v>
      </c>
      <c r="L75" s="27"/>
      <c r="M75" s="27"/>
      <c r="N75" s="1">
        <v>4</v>
      </c>
      <c r="O75" s="27">
        <f t="shared" si="1"/>
        <v>0</v>
      </c>
      <c r="P75" s="27"/>
      <c r="Q75" s="27"/>
      <c r="R75" s="20"/>
    </row>
    <row r="76" spans="1:38" ht="15" customHeight="1">
      <c r="A76" s="24">
        <v>37</v>
      </c>
      <c r="B76" s="23" t="s">
        <v>63</v>
      </c>
      <c r="C76" s="24" t="s">
        <v>18</v>
      </c>
      <c r="D76" s="23"/>
      <c r="E76" s="23" t="s">
        <v>41</v>
      </c>
      <c r="F76" s="23" t="s">
        <v>120</v>
      </c>
      <c r="G76" s="23" t="s">
        <v>142</v>
      </c>
      <c r="H76" s="25">
        <v>7</v>
      </c>
      <c r="I76" s="1">
        <v>3</v>
      </c>
      <c r="J76" s="26">
        <v>3</v>
      </c>
      <c r="K76" s="27">
        <f t="shared" si="2"/>
        <v>0</v>
      </c>
      <c r="L76" s="27"/>
      <c r="M76" s="27"/>
      <c r="N76" s="1">
        <v>13</v>
      </c>
      <c r="O76" s="27">
        <f t="shared" si="1"/>
        <v>0</v>
      </c>
      <c r="P76" s="27"/>
      <c r="Q76" s="27"/>
      <c r="R76" s="20"/>
    </row>
    <row r="77" spans="1:38" ht="15" customHeight="1">
      <c r="A77" s="24"/>
      <c r="B77" s="23" t="s">
        <v>63</v>
      </c>
      <c r="C77" s="24" t="s">
        <v>18</v>
      </c>
      <c r="D77" s="23"/>
      <c r="E77" s="23" t="s">
        <v>41</v>
      </c>
      <c r="F77" s="23" t="s">
        <v>363</v>
      </c>
      <c r="G77" s="23" t="s">
        <v>136</v>
      </c>
      <c r="H77" s="25">
        <v>3</v>
      </c>
      <c r="I77" s="2"/>
      <c r="J77" s="26"/>
      <c r="K77" s="27">
        <f t="shared" si="2"/>
        <v>0</v>
      </c>
      <c r="L77" s="27"/>
      <c r="M77" s="27"/>
      <c r="N77" s="2">
        <v>10</v>
      </c>
      <c r="O77" s="27">
        <f t="shared" si="1"/>
        <v>0</v>
      </c>
      <c r="P77" s="27"/>
      <c r="Q77" s="27"/>
      <c r="R77" s="20"/>
    </row>
    <row r="78" spans="1:38" s="17" customFormat="1" ht="15" customHeight="1">
      <c r="A78" s="24">
        <v>38</v>
      </c>
      <c r="B78" s="23" t="s">
        <v>64</v>
      </c>
      <c r="C78" s="24" t="s">
        <v>18</v>
      </c>
      <c r="D78" s="23"/>
      <c r="E78" s="23" t="s">
        <v>41</v>
      </c>
      <c r="F78" s="23" t="s">
        <v>123</v>
      </c>
      <c r="G78" s="23" t="s">
        <v>142</v>
      </c>
      <c r="H78" s="25">
        <v>0</v>
      </c>
      <c r="I78" s="2"/>
      <c r="J78" s="26"/>
      <c r="K78" s="27">
        <f t="shared" si="2"/>
        <v>0</v>
      </c>
      <c r="L78" s="27"/>
      <c r="M78" s="27"/>
      <c r="N78" s="2"/>
      <c r="O78" s="27">
        <f t="shared" si="1"/>
        <v>0</v>
      </c>
      <c r="P78" s="27"/>
      <c r="Q78" s="27"/>
      <c r="R78" s="20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spans="1:38" ht="15" customHeight="1">
      <c r="A79" s="24"/>
      <c r="B79" s="23" t="s">
        <v>64</v>
      </c>
      <c r="C79" s="24" t="s">
        <v>18</v>
      </c>
      <c r="D79" s="23"/>
      <c r="E79" s="23" t="s">
        <v>41</v>
      </c>
      <c r="F79" s="23" t="s">
        <v>351</v>
      </c>
      <c r="G79" s="23" t="s">
        <v>122</v>
      </c>
      <c r="H79" s="25">
        <v>0</v>
      </c>
      <c r="I79" s="1"/>
      <c r="J79" s="26"/>
      <c r="K79" s="27">
        <f t="shared" si="2"/>
        <v>0</v>
      </c>
      <c r="L79" s="27"/>
      <c r="M79" s="27"/>
      <c r="N79" s="1">
        <v>2</v>
      </c>
      <c r="O79" s="27">
        <f t="shared" si="1"/>
        <v>1497.7</v>
      </c>
      <c r="P79" s="27">
        <v>1497.7</v>
      </c>
      <c r="Q79" s="27"/>
      <c r="R79" s="20"/>
    </row>
    <row r="80" spans="1:38" s="17" customFormat="1" ht="15" customHeight="1">
      <c r="A80" s="24">
        <v>39</v>
      </c>
      <c r="B80" s="23" t="s">
        <v>238</v>
      </c>
      <c r="C80" s="24" t="s">
        <v>18</v>
      </c>
      <c r="D80" s="23"/>
      <c r="E80" s="23" t="s">
        <v>41</v>
      </c>
      <c r="F80" s="23" t="s">
        <v>123</v>
      </c>
      <c r="G80" s="23" t="s">
        <v>142</v>
      </c>
      <c r="H80" s="25">
        <v>14</v>
      </c>
      <c r="I80" s="1"/>
      <c r="J80" s="26"/>
      <c r="K80" s="27">
        <f t="shared" si="2"/>
        <v>0</v>
      </c>
      <c r="L80" s="27"/>
      <c r="M80" s="27"/>
      <c r="N80" s="1">
        <v>1</v>
      </c>
      <c r="O80" s="27">
        <f t="shared" si="1"/>
        <v>6215.87</v>
      </c>
      <c r="P80" s="27">
        <v>6215.87</v>
      </c>
      <c r="Q80" s="27"/>
      <c r="R80" s="20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:38" s="7" customFormat="1" ht="15" customHeight="1">
      <c r="A81" s="24">
        <v>40</v>
      </c>
      <c r="B81" s="23" t="s">
        <v>65</v>
      </c>
      <c r="C81" s="24" t="s">
        <v>18</v>
      </c>
      <c r="D81" s="23"/>
      <c r="E81" s="23" t="s">
        <v>66</v>
      </c>
      <c r="F81" s="23" t="s">
        <v>295</v>
      </c>
      <c r="G81" s="23" t="s">
        <v>142</v>
      </c>
      <c r="H81" s="25">
        <v>6</v>
      </c>
      <c r="I81" s="1"/>
      <c r="J81" s="26"/>
      <c r="K81" s="27">
        <f t="shared" si="2"/>
        <v>0</v>
      </c>
      <c r="L81" s="27"/>
      <c r="M81" s="27"/>
      <c r="N81" s="1">
        <v>9</v>
      </c>
      <c r="O81" s="27">
        <f t="shared" si="1"/>
        <v>0</v>
      </c>
      <c r="P81" s="27"/>
      <c r="Q81" s="27"/>
      <c r="R81" s="20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</row>
    <row r="82" spans="1:38" ht="15" customHeight="1">
      <c r="A82" s="24"/>
      <c r="B82" s="23" t="s">
        <v>65</v>
      </c>
      <c r="C82" s="24" t="s">
        <v>18</v>
      </c>
      <c r="D82" s="23"/>
      <c r="E82" s="23" t="s">
        <v>66</v>
      </c>
      <c r="F82" s="23" t="s">
        <v>123</v>
      </c>
      <c r="G82" s="23" t="s">
        <v>136</v>
      </c>
      <c r="H82" s="25">
        <v>0</v>
      </c>
      <c r="I82" s="2"/>
      <c r="J82" s="26"/>
      <c r="K82" s="27">
        <f t="shared" si="2"/>
        <v>0</v>
      </c>
      <c r="L82" s="27"/>
      <c r="M82" s="27"/>
      <c r="N82" s="2"/>
      <c r="O82" s="27">
        <f t="shared" si="1"/>
        <v>0</v>
      </c>
      <c r="P82" s="27"/>
      <c r="Q82" s="27"/>
      <c r="R82" s="20"/>
    </row>
    <row r="83" spans="1:38" s="7" customFormat="1" ht="15" customHeight="1">
      <c r="A83" s="24">
        <v>41</v>
      </c>
      <c r="B83" s="23" t="s">
        <v>67</v>
      </c>
      <c r="C83" s="24" t="s">
        <v>18</v>
      </c>
      <c r="D83" s="23"/>
      <c r="E83" s="23" t="s">
        <v>19</v>
      </c>
      <c r="F83" s="23" t="s">
        <v>292</v>
      </c>
      <c r="G83" s="23" t="s">
        <v>142</v>
      </c>
      <c r="H83" s="25">
        <v>13</v>
      </c>
      <c r="I83" s="1">
        <v>11</v>
      </c>
      <c r="J83" s="26">
        <v>11</v>
      </c>
      <c r="K83" s="27">
        <f t="shared" ref="K83:K151" si="3">L83+M83</f>
        <v>0</v>
      </c>
      <c r="L83" s="27"/>
      <c r="M83" s="27"/>
      <c r="N83" s="1">
        <v>7</v>
      </c>
      <c r="O83" s="27">
        <f t="shared" si="1"/>
        <v>1369.13</v>
      </c>
      <c r="P83" s="27">
        <v>1369.13</v>
      </c>
      <c r="Q83" s="27"/>
      <c r="R83" s="20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</row>
    <row r="84" spans="1:38" s="28" customFormat="1" ht="15" customHeight="1">
      <c r="A84" s="24"/>
      <c r="B84" s="23" t="s">
        <v>67</v>
      </c>
      <c r="C84" s="24" t="s">
        <v>18</v>
      </c>
      <c r="D84" s="23"/>
      <c r="E84" s="23" t="s">
        <v>104</v>
      </c>
      <c r="F84" s="23" t="s">
        <v>123</v>
      </c>
      <c r="G84" s="23" t="s">
        <v>122</v>
      </c>
      <c r="H84" s="25">
        <v>0</v>
      </c>
      <c r="I84" s="1"/>
      <c r="J84" s="26"/>
      <c r="K84" s="27">
        <f t="shared" si="3"/>
        <v>0</v>
      </c>
      <c r="L84" s="27"/>
      <c r="M84" s="27"/>
      <c r="N84" s="1"/>
      <c r="O84" s="27">
        <f t="shared" si="1"/>
        <v>0</v>
      </c>
      <c r="P84" s="27"/>
      <c r="Q84" s="27"/>
      <c r="R84" s="20"/>
    </row>
    <row r="85" spans="1:38" ht="15" customHeight="1">
      <c r="A85" s="24">
        <v>42</v>
      </c>
      <c r="B85" s="23" t="s">
        <v>68</v>
      </c>
      <c r="C85" s="24" t="s">
        <v>18</v>
      </c>
      <c r="D85" s="24"/>
      <c r="E85" s="23" t="s">
        <v>50</v>
      </c>
      <c r="F85" s="23" t="s">
        <v>268</v>
      </c>
      <c r="G85" s="23" t="s">
        <v>142</v>
      </c>
      <c r="H85" s="25">
        <v>5</v>
      </c>
      <c r="I85" s="1"/>
      <c r="J85" s="26"/>
      <c r="K85" s="27">
        <f t="shared" si="3"/>
        <v>0</v>
      </c>
      <c r="L85" s="27"/>
      <c r="M85" s="27"/>
      <c r="N85" s="1"/>
      <c r="O85" s="27">
        <f t="shared" si="1"/>
        <v>0</v>
      </c>
      <c r="P85" s="27"/>
      <c r="Q85" s="27"/>
      <c r="R85" s="20"/>
    </row>
    <row r="86" spans="1:38" ht="15" customHeight="1">
      <c r="A86" s="24"/>
      <c r="B86" s="23" t="s">
        <v>68</v>
      </c>
      <c r="C86" s="24" t="s">
        <v>18</v>
      </c>
      <c r="D86" s="23"/>
      <c r="E86" s="23" t="s">
        <v>50</v>
      </c>
      <c r="F86" s="23" t="s">
        <v>123</v>
      </c>
      <c r="G86" s="23" t="s">
        <v>136</v>
      </c>
      <c r="H86" s="25">
        <v>0</v>
      </c>
      <c r="I86" s="2"/>
      <c r="J86" s="26"/>
      <c r="K86" s="27">
        <f t="shared" si="3"/>
        <v>0</v>
      </c>
      <c r="L86" s="27"/>
      <c r="M86" s="27"/>
      <c r="N86" s="2"/>
      <c r="O86" s="27">
        <f t="shared" si="1"/>
        <v>0</v>
      </c>
      <c r="P86" s="27"/>
      <c r="Q86" s="27"/>
      <c r="R86" s="20"/>
    </row>
    <row r="87" spans="1:38" ht="15" customHeight="1">
      <c r="A87" s="24"/>
      <c r="B87" s="23" t="s">
        <v>68</v>
      </c>
      <c r="C87" s="24" t="s">
        <v>18</v>
      </c>
      <c r="D87" s="23"/>
      <c r="E87" s="23" t="s">
        <v>50</v>
      </c>
      <c r="F87" s="23" t="s">
        <v>292</v>
      </c>
      <c r="G87" s="23" t="s">
        <v>124</v>
      </c>
      <c r="H87" s="25">
        <v>0</v>
      </c>
      <c r="I87" s="2"/>
      <c r="J87" s="26"/>
      <c r="K87" s="27">
        <f t="shared" si="3"/>
        <v>0</v>
      </c>
      <c r="L87" s="27"/>
      <c r="M87" s="27"/>
      <c r="N87" s="2"/>
      <c r="O87" s="27">
        <f t="shared" si="1"/>
        <v>0</v>
      </c>
      <c r="P87" s="27"/>
      <c r="Q87" s="27"/>
      <c r="R87" s="20"/>
    </row>
    <row r="88" spans="1:38" ht="15" customHeight="1">
      <c r="A88" s="24">
        <v>43</v>
      </c>
      <c r="B88" s="23" t="s">
        <v>127</v>
      </c>
      <c r="C88" s="24" t="s">
        <v>18</v>
      </c>
      <c r="D88" s="23"/>
      <c r="E88" s="23" t="s">
        <v>41</v>
      </c>
      <c r="F88" s="23" t="s">
        <v>120</v>
      </c>
      <c r="G88" s="23" t="s">
        <v>142</v>
      </c>
      <c r="H88" s="25">
        <v>7</v>
      </c>
      <c r="I88" s="2"/>
      <c r="J88" s="26"/>
      <c r="K88" s="27">
        <f t="shared" si="3"/>
        <v>0</v>
      </c>
      <c r="L88" s="27"/>
      <c r="M88" s="27"/>
      <c r="N88" s="2">
        <v>1</v>
      </c>
      <c r="O88" s="27">
        <f t="shared" si="1"/>
        <v>3045.34</v>
      </c>
      <c r="P88" s="27">
        <v>3045.34</v>
      </c>
      <c r="Q88" s="27"/>
      <c r="R88" s="20"/>
    </row>
    <row r="89" spans="1:38" ht="15" customHeight="1">
      <c r="A89" s="24"/>
      <c r="B89" s="23" t="s">
        <v>127</v>
      </c>
      <c r="C89" s="24" t="s">
        <v>18</v>
      </c>
      <c r="D89" s="23"/>
      <c r="E89" s="23" t="s">
        <v>50</v>
      </c>
      <c r="F89" s="23" t="s">
        <v>364</v>
      </c>
      <c r="G89" s="23" t="s">
        <v>136</v>
      </c>
      <c r="H89" s="25">
        <v>10</v>
      </c>
      <c r="I89" s="2"/>
      <c r="J89" s="26"/>
      <c r="K89" s="27">
        <f t="shared" si="3"/>
        <v>0</v>
      </c>
      <c r="L89" s="27"/>
      <c r="M89" s="27"/>
      <c r="N89" s="2">
        <v>12</v>
      </c>
      <c r="O89" s="27">
        <f t="shared" si="1"/>
        <v>0</v>
      </c>
      <c r="P89" s="27"/>
      <c r="Q89" s="27"/>
      <c r="R89" s="20"/>
    </row>
    <row r="90" spans="1:38" ht="15" customHeight="1">
      <c r="A90" s="24"/>
      <c r="B90" s="23" t="s">
        <v>127</v>
      </c>
      <c r="C90" s="24" t="s">
        <v>18</v>
      </c>
      <c r="D90" s="23"/>
      <c r="E90" s="23" t="s">
        <v>50</v>
      </c>
      <c r="F90" s="23" t="s">
        <v>375</v>
      </c>
      <c r="G90" s="23" t="s">
        <v>124</v>
      </c>
      <c r="H90" s="25">
        <v>1</v>
      </c>
      <c r="I90" s="2"/>
      <c r="J90" s="26"/>
      <c r="K90" s="27">
        <f t="shared" si="3"/>
        <v>0</v>
      </c>
      <c r="L90" s="27"/>
      <c r="M90" s="27"/>
      <c r="N90" s="2">
        <v>1</v>
      </c>
      <c r="O90" s="27">
        <f t="shared" ref="O90:O187" si="4">P90+Q90</f>
        <v>0</v>
      </c>
      <c r="P90" s="27"/>
      <c r="Q90" s="27"/>
      <c r="R90" s="20"/>
    </row>
    <row r="91" spans="1:38" s="7" customFormat="1" ht="15" customHeight="1">
      <c r="A91" s="74">
        <v>44</v>
      </c>
      <c r="B91" s="77" t="s">
        <v>69</v>
      </c>
      <c r="C91" s="74" t="s">
        <v>18</v>
      </c>
      <c r="D91" s="77"/>
      <c r="E91" s="77" t="s">
        <v>19</v>
      </c>
      <c r="F91" s="77" t="s">
        <v>292</v>
      </c>
      <c r="G91" s="77" t="s">
        <v>142</v>
      </c>
      <c r="H91" s="25">
        <v>0</v>
      </c>
      <c r="I91" s="1"/>
      <c r="J91" s="26"/>
      <c r="K91" s="27">
        <f t="shared" si="3"/>
        <v>0</v>
      </c>
      <c r="L91" s="27"/>
      <c r="M91" s="27"/>
      <c r="N91" s="1"/>
      <c r="O91" s="27">
        <f t="shared" si="4"/>
        <v>0</v>
      </c>
      <c r="P91" s="27"/>
      <c r="Q91" s="27"/>
      <c r="R91" s="20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</row>
    <row r="92" spans="1:38" s="7" customFormat="1" ht="15.75" customHeight="1">
      <c r="A92" s="74">
        <v>45</v>
      </c>
      <c r="B92" s="77" t="s">
        <v>70</v>
      </c>
      <c r="C92" s="74" t="s">
        <v>18</v>
      </c>
      <c r="D92" s="77"/>
      <c r="E92" s="77" t="s">
        <v>19</v>
      </c>
      <c r="F92" s="77" t="s">
        <v>292</v>
      </c>
      <c r="G92" s="77" t="s">
        <v>142</v>
      </c>
      <c r="H92" s="25">
        <v>5</v>
      </c>
      <c r="I92" s="1">
        <v>2</v>
      </c>
      <c r="J92" s="26">
        <v>2</v>
      </c>
      <c r="K92" s="27">
        <f t="shared" si="3"/>
        <v>0</v>
      </c>
      <c r="L92" s="27"/>
      <c r="M92" s="27"/>
      <c r="N92" s="1">
        <v>3</v>
      </c>
      <c r="O92" s="27">
        <f t="shared" si="4"/>
        <v>3806.1</v>
      </c>
      <c r="P92" s="27">
        <v>3806.1</v>
      </c>
      <c r="Q92" s="27"/>
      <c r="R92" s="20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 spans="1:38" ht="15" customHeight="1">
      <c r="A93" s="74">
        <v>46</v>
      </c>
      <c r="B93" s="77" t="s">
        <v>71</v>
      </c>
      <c r="C93" s="74" t="s">
        <v>18</v>
      </c>
      <c r="D93" s="77"/>
      <c r="E93" s="77" t="s">
        <v>32</v>
      </c>
      <c r="F93" s="77" t="s">
        <v>292</v>
      </c>
      <c r="G93" s="77" t="s">
        <v>121</v>
      </c>
      <c r="H93" s="25">
        <v>0</v>
      </c>
      <c r="I93" s="1"/>
      <c r="J93" s="26"/>
      <c r="K93" s="27">
        <f t="shared" si="3"/>
        <v>0</v>
      </c>
      <c r="L93" s="27"/>
      <c r="M93" s="27"/>
      <c r="N93" s="1"/>
      <c r="O93" s="27">
        <f t="shared" si="4"/>
        <v>0</v>
      </c>
      <c r="P93" s="27"/>
      <c r="Q93" s="27"/>
      <c r="R93" s="20"/>
    </row>
    <row r="94" spans="1:38" ht="15" customHeight="1">
      <c r="A94" s="24"/>
      <c r="B94" s="23" t="s">
        <v>71</v>
      </c>
      <c r="C94" s="24" t="s">
        <v>18</v>
      </c>
      <c r="D94" s="23"/>
      <c r="E94" s="23" t="s">
        <v>32</v>
      </c>
      <c r="F94" s="23" t="s">
        <v>292</v>
      </c>
      <c r="G94" s="23" t="s">
        <v>122</v>
      </c>
      <c r="H94" s="25">
        <v>0</v>
      </c>
      <c r="I94" s="1"/>
      <c r="J94" s="26"/>
      <c r="K94" s="27">
        <f t="shared" si="3"/>
        <v>0</v>
      </c>
      <c r="L94" s="27"/>
      <c r="M94" s="27"/>
      <c r="N94" s="1"/>
      <c r="O94" s="27">
        <f t="shared" si="4"/>
        <v>0</v>
      </c>
      <c r="P94" s="27"/>
      <c r="Q94" s="27"/>
      <c r="R94" s="20"/>
    </row>
    <row r="95" spans="1:38" ht="15" customHeight="1">
      <c r="A95" s="24">
        <v>47</v>
      </c>
      <c r="B95" s="23" t="s">
        <v>72</v>
      </c>
      <c r="C95" s="24" t="s">
        <v>18</v>
      </c>
      <c r="D95" s="23"/>
      <c r="E95" s="23" t="s">
        <v>19</v>
      </c>
      <c r="F95" s="23" t="s">
        <v>268</v>
      </c>
      <c r="G95" s="23" t="s">
        <v>142</v>
      </c>
      <c r="H95" s="25">
        <v>0</v>
      </c>
      <c r="I95" s="1"/>
      <c r="J95" s="26"/>
      <c r="K95" s="27">
        <f t="shared" si="3"/>
        <v>0</v>
      </c>
      <c r="L95" s="27"/>
      <c r="M95" s="27"/>
      <c r="N95" s="1"/>
      <c r="O95" s="27">
        <f t="shared" si="4"/>
        <v>0</v>
      </c>
      <c r="P95" s="27"/>
      <c r="Q95" s="27"/>
      <c r="R95" s="20"/>
    </row>
    <row r="96" spans="1:38" ht="15" customHeight="1">
      <c r="A96" s="24"/>
      <c r="B96" s="23" t="s">
        <v>72</v>
      </c>
      <c r="C96" s="24" t="s">
        <v>18</v>
      </c>
      <c r="D96" s="23"/>
      <c r="E96" s="23" t="s">
        <v>19</v>
      </c>
      <c r="F96" s="23" t="s">
        <v>292</v>
      </c>
      <c r="G96" s="23" t="s">
        <v>122</v>
      </c>
      <c r="H96" s="25">
        <v>0</v>
      </c>
      <c r="I96" s="1"/>
      <c r="J96" s="26"/>
      <c r="K96" s="27">
        <f t="shared" si="3"/>
        <v>0</v>
      </c>
      <c r="L96" s="27"/>
      <c r="M96" s="27"/>
      <c r="N96" s="1"/>
      <c r="O96" s="27">
        <f t="shared" si="4"/>
        <v>0</v>
      </c>
      <c r="P96" s="27"/>
      <c r="Q96" s="27"/>
      <c r="R96" s="20"/>
    </row>
    <row r="97" spans="1:38" ht="15" customHeight="1">
      <c r="A97" s="24">
        <v>48</v>
      </c>
      <c r="B97" s="23" t="s">
        <v>73</v>
      </c>
      <c r="C97" s="24" t="s">
        <v>18</v>
      </c>
      <c r="D97" s="23"/>
      <c r="E97" s="23" t="s">
        <v>19</v>
      </c>
      <c r="F97" s="23"/>
      <c r="G97" s="23" t="s">
        <v>142</v>
      </c>
      <c r="H97" s="25">
        <v>0</v>
      </c>
      <c r="I97" s="1"/>
      <c r="J97" s="26"/>
      <c r="K97" s="27">
        <f t="shared" si="3"/>
        <v>0</v>
      </c>
      <c r="L97" s="27"/>
      <c r="M97" s="27"/>
      <c r="N97" s="1"/>
      <c r="O97" s="27">
        <f t="shared" si="4"/>
        <v>0</v>
      </c>
      <c r="P97" s="27"/>
      <c r="Q97" s="27"/>
      <c r="R97" s="20"/>
    </row>
    <row r="98" spans="1:38" s="7" customFormat="1" ht="15" customHeight="1">
      <c r="A98" s="24">
        <v>49</v>
      </c>
      <c r="B98" s="23" t="s">
        <v>74</v>
      </c>
      <c r="C98" s="24" t="s">
        <v>18</v>
      </c>
      <c r="D98" s="23"/>
      <c r="E98" s="23" t="s">
        <v>19</v>
      </c>
      <c r="F98" s="23" t="s">
        <v>120</v>
      </c>
      <c r="G98" s="23" t="s">
        <v>142</v>
      </c>
      <c r="H98" s="25">
        <v>9</v>
      </c>
      <c r="I98" s="1">
        <v>2</v>
      </c>
      <c r="J98" s="26">
        <v>2</v>
      </c>
      <c r="K98" s="27">
        <f t="shared" si="3"/>
        <v>0</v>
      </c>
      <c r="L98" s="27"/>
      <c r="M98" s="27"/>
      <c r="N98" s="1">
        <v>6</v>
      </c>
      <c r="O98" s="27">
        <f t="shared" si="4"/>
        <v>8926.48</v>
      </c>
      <c r="P98" s="27">
        <v>8926.48</v>
      </c>
      <c r="Q98" s="27"/>
      <c r="R98" s="20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 spans="1:38" s="7" customFormat="1" ht="15" customHeight="1">
      <c r="A99" s="24">
        <v>50</v>
      </c>
      <c r="B99" s="23" t="s">
        <v>312</v>
      </c>
      <c r="C99" s="24" t="s">
        <v>18</v>
      </c>
      <c r="D99" s="23"/>
      <c r="E99" s="23" t="s">
        <v>19</v>
      </c>
      <c r="F99" s="23" t="s">
        <v>298</v>
      </c>
      <c r="G99" s="23" t="s">
        <v>142</v>
      </c>
      <c r="H99" s="25">
        <v>5</v>
      </c>
      <c r="I99" s="1"/>
      <c r="J99" s="26"/>
      <c r="K99" s="27">
        <f t="shared" si="3"/>
        <v>0</v>
      </c>
      <c r="L99" s="27"/>
      <c r="M99" s="27"/>
      <c r="N99" s="1"/>
      <c r="O99" s="27">
        <f t="shared" si="4"/>
        <v>0</v>
      </c>
      <c r="P99" s="27"/>
      <c r="Q99" s="27"/>
      <c r="R99" s="20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 spans="1:38" s="7" customFormat="1" ht="15" customHeight="1">
      <c r="A100" s="24"/>
      <c r="B100" s="23" t="s">
        <v>312</v>
      </c>
      <c r="C100" s="24" t="s">
        <v>18</v>
      </c>
      <c r="D100" s="23"/>
      <c r="E100" s="23" t="s">
        <v>304</v>
      </c>
      <c r="F100" s="23" t="s">
        <v>339</v>
      </c>
      <c r="G100" s="23" t="s">
        <v>131</v>
      </c>
      <c r="H100" s="25">
        <v>8</v>
      </c>
      <c r="I100" s="1"/>
      <c r="J100" s="26"/>
      <c r="K100" s="27">
        <f t="shared" si="3"/>
        <v>0</v>
      </c>
      <c r="L100" s="27"/>
      <c r="M100" s="27"/>
      <c r="N100" s="1"/>
      <c r="O100" s="27">
        <f t="shared" si="4"/>
        <v>0</v>
      </c>
      <c r="P100" s="27"/>
      <c r="Q100" s="27"/>
      <c r="R100" s="20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 spans="1:38" s="7" customFormat="1" ht="15" customHeight="1">
      <c r="A101" s="24"/>
      <c r="B101" s="23" t="s">
        <v>312</v>
      </c>
      <c r="C101" s="24" t="s">
        <v>18</v>
      </c>
      <c r="D101" s="23"/>
      <c r="E101" s="23" t="s">
        <v>41</v>
      </c>
      <c r="F101" s="23" t="s">
        <v>365</v>
      </c>
      <c r="G101" s="23" t="s">
        <v>136</v>
      </c>
      <c r="H101" s="25">
        <v>8</v>
      </c>
      <c r="I101" s="1"/>
      <c r="J101" s="26"/>
      <c r="K101" s="27">
        <f t="shared" si="3"/>
        <v>0</v>
      </c>
      <c r="L101" s="27"/>
      <c r="M101" s="27"/>
      <c r="N101" s="1"/>
      <c r="O101" s="27">
        <f t="shared" si="4"/>
        <v>0</v>
      </c>
      <c r="P101" s="27"/>
      <c r="Q101" s="27"/>
      <c r="R101" s="20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 spans="1:38" ht="15" customHeight="1">
      <c r="A102" s="24">
        <v>51</v>
      </c>
      <c r="B102" s="23" t="s">
        <v>75</v>
      </c>
      <c r="C102" s="24" t="s">
        <v>18</v>
      </c>
      <c r="D102" s="23"/>
      <c r="E102" s="23" t="s">
        <v>19</v>
      </c>
      <c r="F102" s="23" t="s">
        <v>120</v>
      </c>
      <c r="G102" s="23" t="s">
        <v>142</v>
      </c>
      <c r="H102" s="25">
        <v>5</v>
      </c>
      <c r="I102" s="1">
        <v>2</v>
      </c>
      <c r="J102" s="26">
        <v>2</v>
      </c>
      <c r="K102" s="27">
        <f t="shared" si="3"/>
        <v>0</v>
      </c>
      <c r="L102" s="27"/>
      <c r="M102" s="27"/>
      <c r="N102" s="1">
        <v>14</v>
      </c>
      <c r="O102" s="27">
        <f>P102+Q102</f>
        <v>0</v>
      </c>
      <c r="P102" s="27"/>
      <c r="Q102" s="27"/>
      <c r="R102" s="20"/>
    </row>
    <row r="103" spans="1:38" ht="13.15" customHeight="1">
      <c r="A103" s="24"/>
      <c r="B103" s="23" t="s">
        <v>75</v>
      </c>
      <c r="C103" s="24" t="s">
        <v>18</v>
      </c>
      <c r="D103" s="23"/>
      <c r="E103" s="23" t="s">
        <v>76</v>
      </c>
      <c r="F103" s="23" t="s">
        <v>335</v>
      </c>
      <c r="G103" s="23" t="s">
        <v>131</v>
      </c>
      <c r="H103" s="25">
        <v>0</v>
      </c>
      <c r="I103" s="1"/>
      <c r="J103" s="26"/>
      <c r="K103" s="27">
        <f t="shared" si="3"/>
        <v>0</v>
      </c>
      <c r="L103" s="27"/>
      <c r="M103" s="27"/>
      <c r="N103" s="1">
        <v>5</v>
      </c>
      <c r="O103" s="27">
        <f>P103+Q103</f>
        <v>792.9</v>
      </c>
      <c r="P103" s="27">
        <v>792.9</v>
      </c>
      <c r="Q103" s="27"/>
      <c r="R103" s="20"/>
    </row>
    <row r="104" spans="1:38" ht="15" customHeight="1">
      <c r="A104" s="24"/>
      <c r="B104" s="23" t="s">
        <v>140</v>
      </c>
      <c r="C104" s="24" t="s">
        <v>18</v>
      </c>
      <c r="D104" s="23"/>
      <c r="E104" s="23" t="s">
        <v>76</v>
      </c>
      <c r="F104" s="23" t="s">
        <v>377</v>
      </c>
      <c r="G104" s="23" t="s">
        <v>136</v>
      </c>
      <c r="H104" s="25">
        <v>1</v>
      </c>
      <c r="I104" s="2"/>
      <c r="J104" s="26"/>
      <c r="K104" s="27">
        <f t="shared" si="3"/>
        <v>0</v>
      </c>
      <c r="L104" s="27"/>
      <c r="M104" s="27"/>
      <c r="N104" s="2">
        <v>12</v>
      </c>
      <c r="O104" s="27">
        <f>P104+Q104</f>
        <v>4212.68</v>
      </c>
      <c r="P104" s="27">
        <v>4212.68</v>
      </c>
      <c r="Q104" s="27"/>
      <c r="R104" s="20"/>
    </row>
    <row r="105" spans="1:38" s="17" customFormat="1" ht="15" customHeight="1">
      <c r="A105" s="24">
        <v>52</v>
      </c>
      <c r="B105" s="23" t="s">
        <v>267</v>
      </c>
      <c r="C105" s="24" t="s">
        <v>18</v>
      </c>
      <c r="D105" s="23"/>
      <c r="E105" s="23" t="s">
        <v>19</v>
      </c>
      <c r="F105" s="23" t="s">
        <v>268</v>
      </c>
      <c r="G105" s="23" t="s">
        <v>142</v>
      </c>
      <c r="H105" s="25">
        <v>0</v>
      </c>
      <c r="I105" s="2"/>
      <c r="J105" s="26"/>
      <c r="K105" s="27">
        <f t="shared" si="3"/>
        <v>0</v>
      </c>
      <c r="L105" s="27"/>
      <c r="M105" s="27"/>
      <c r="N105" s="2"/>
      <c r="O105" s="27">
        <f>P105+Q105</f>
        <v>0</v>
      </c>
      <c r="P105" s="27"/>
      <c r="Q105" s="27"/>
      <c r="R105" s="20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</row>
    <row r="106" spans="1:38" s="17" customFormat="1" ht="15" customHeight="1">
      <c r="A106" s="24"/>
      <c r="B106" s="23" t="s">
        <v>267</v>
      </c>
      <c r="C106" s="24" t="s">
        <v>18</v>
      </c>
      <c r="D106" s="23"/>
      <c r="E106" s="23" t="s">
        <v>19</v>
      </c>
      <c r="F106" s="23" t="s">
        <v>336</v>
      </c>
      <c r="G106" s="23" t="s">
        <v>131</v>
      </c>
      <c r="H106" s="25">
        <v>3</v>
      </c>
      <c r="I106" s="2"/>
      <c r="J106" s="26"/>
      <c r="K106" s="27">
        <f t="shared" si="3"/>
        <v>0</v>
      </c>
      <c r="L106" s="27"/>
      <c r="M106" s="27"/>
      <c r="N106" s="2">
        <v>2</v>
      </c>
      <c r="O106" s="27">
        <f t="shared" ref="O106:O110" si="5">P106+Q106</f>
        <v>1703.9</v>
      </c>
      <c r="P106" s="27">
        <v>1703.9</v>
      </c>
      <c r="Q106" s="27"/>
      <c r="R106" s="20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38" ht="15" customHeight="1">
      <c r="A107" s="24"/>
      <c r="B107" s="23" t="s">
        <v>267</v>
      </c>
      <c r="C107" s="24" t="s">
        <v>18</v>
      </c>
      <c r="D107" s="23"/>
      <c r="E107" s="23" t="s">
        <v>19</v>
      </c>
      <c r="F107" s="23" t="s">
        <v>123</v>
      </c>
      <c r="G107" s="23" t="s">
        <v>122</v>
      </c>
      <c r="H107" s="25">
        <v>3</v>
      </c>
      <c r="I107" s="2"/>
      <c r="J107" s="26"/>
      <c r="K107" s="27">
        <f t="shared" si="3"/>
        <v>0</v>
      </c>
      <c r="L107" s="27"/>
      <c r="M107" s="27"/>
      <c r="N107" s="2">
        <v>1</v>
      </c>
      <c r="O107" s="27">
        <f t="shared" si="5"/>
        <v>0</v>
      </c>
      <c r="P107" s="27"/>
      <c r="Q107" s="27"/>
      <c r="R107" s="20"/>
    </row>
    <row r="108" spans="1:38" ht="15" customHeight="1">
      <c r="A108" s="24">
        <v>53</v>
      </c>
      <c r="B108" s="23" t="s">
        <v>306</v>
      </c>
      <c r="C108" s="24" t="s">
        <v>18</v>
      </c>
      <c r="D108" s="23"/>
      <c r="E108" s="23" t="s">
        <v>104</v>
      </c>
      <c r="F108" s="23" t="s">
        <v>285</v>
      </c>
      <c r="G108" s="23" t="s">
        <v>142</v>
      </c>
      <c r="H108" s="25">
        <v>1</v>
      </c>
      <c r="I108" s="2"/>
      <c r="J108" s="26"/>
      <c r="K108" s="27">
        <v>0</v>
      </c>
      <c r="L108" s="27"/>
      <c r="M108" s="27"/>
      <c r="N108" s="2"/>
      <c r="O108" s="27">
        <v>0</v>
      </c>
      <c r="P108" s="27"/>
      <c r="Q108" s="27"/>
      <c r="R108" s="20"/>
    </row>
    <row r="109" spans="1:38" ht="15" customHeight="1">
      <c r="A109" s="24"/>
      <c r="B109" s="23" t="s">
        <v>306</v>
      </c>
      <c r="C109" s="24" t="s">
        <v>30</v>
      </c>
      <c r="D109" s="23" t="s">
        <v>334</v>
      </c>
      <c r="E109" s="23" t="s">
        <v>104</v>
      </c>
      <c r="F109" s="23" t="s">
        <v>340</v>
      </c>
      <c r="G109" s="23" t="s">
        <v>131</v>
      </c>
      <c r="H109" s="25">
        <v>7</v>
      </c>
      <c r="I109" s="2"/>
      <c r="J109" s="26"/>
      <c r="K109" s="27">
        <f t="shared" si="3"/>
        <v>0</v>
      </c>
      <c r="L109" s="27"/>
      <c r="M109" s="27"/>
      <c r="N109" s="2">
        <v>1</v>
      </c>
      <c r="O109" s="27">
        <f t="shared" si="5"/>
        <v>0</v>
      </c>
      <c r="P109" s="27"/>
      <c r="Q109" s="27"/>
      <c r="R109" s="20"/>
    </row>
    <row r="110" spans="1:38" ht="15" customHeight="1">
      <c r="A110" s="24"/>
      <c r="B110" s="23" t="s">
        <v>306</v>
      </c>
      <c r="C110" s="24" t="s">
        <v>30</v>
      </c>
      <c r="D110" s="23" t="s">
        <v>307</v>
      </c>
      <c r="E110" s="23" t="s">
        <v>19</v>
      </c>
      <c r="F110" s="23" t="s">
        <v>350</v>
      </c>
      <c r="G110" s="23" t="s">
        <v>122</v>
      </c>
      <c r="H110" s="25">
        <v>4</v>
      </c>
      <c r="I110" s="2"/>
      <c r="J110" s="26"/>
      <c r="K110" s="27">
        <f t="shared" si="3"/>
        <v>0</v>
      </c>
      <c r="L110" s="27"/>
      <c r="M110" s="27"/>
      <c r="N110" s="2">
        <v>1</v>
      </c>
      <c r="O110" s="27">
        <f t="shared" si="5"/>
        <v>0</v>
      </c>
      <c r="P110" s="27"/>
      <c r="Q110" s="27"/>
      <c r="R110" s="20"/>
    </row>
    <row r="111" spans="1:38" ht="30.75" customHeight="1">
      <c r="A111" s="24">
        <v>54</v>
      </c>
      <c r="B111" s="23" t="s">
        <v>78</v>
      </c>
      <c r="C111" s="24" t="s">
        <v>18</v>
      </c>
      <c r="D111" s="23" t="s">
        <v>276</v>
      </c>
      <c r="E111" s="23" t="s">
        <v>19</v>
      </c>
      <c r="F111" s="23" t="s">
        <v>123</v>
      </c>
      <c r="G111" s="23" t="s">
        <v>142</v>
      </c>
      <c r="H111" s="25">
        <v>12</v>
      </c>
      <c r="I111" s="1">
        <v>10</v>
      </c>
      <c r="J111" s="26">
        <v>10</v>
      </c>
      <c r="K111" s="27">
        <f t="shared" si="3"/>
        <v>0</v>
      </c>
      <c r="L111" s="27"/>
      <c r="M111" s="27"/>
      <c r="N111" s="1">
        <v>3</v>
      </c>
      <c r="O111" s="27">
        <f t="shared" si="4"/>
        <v>0</v>
      </c>
      <c r="P111" s="27"/>
      <c r="Q111" s="27"/>
      <c r="R111" s="20"/>
    </row>
    <row r="112" spans="1:38" s="7" customFormat="1" ht="15" customHeight="1">
      <c r="A112" s="24"/>
      <c r="B112" s="23" t="s">
        <v>78</v>
      </c>
      <c r="C112" s="24" t="s">
        <v>18</v>
      </c>
      <c r="D112" s="23"/>
      <c r="E112" s="23" t="s">
        <v>19</v>
      </c>
      <c r="F112" s="23" t="s">
        <v>120</v>
      </c>
      <c r="G112" s="23" t="s">
        <v>131</v>
      </c>
      <c r="H112" s="25">
        <v>0</v>
      </c>
      <c r="I112" s="1"/>
      <c r="J112" s="26"/>
      <c r="K112" s="27">
        <f t="shared" si="3"/>
        <v>0</v>
      </c>
      <c r="L112" s="27"/>
      <c r="M112" s="27"/>
      <c r="N112" s="1"/>
      <c r="O112" s="27">
        <f t="shared" si="4"/>
        <v>0</v>
      </c>
      <c r="P112" s="27"/>
      <c r="Q112" s="27"/>
      <c r="R112" s="20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</row>
    <row r="113" spans="1:38" ht="15" customHeight="1">
      <c r="A113" s="24"/>
      <c r="B113" s="23" t="s">
        <v>78</v>
      </c>
      <c r="C113" s="24" t="s">
        <v>18</v>
      </c>
      <c r="D113" s="23"/>
      <c r="E113" s="23" t="s">
        <v>19</v>
      </c>
      <c r="F113" s="23" t="s">
        <v>120</v>
      </c>
      <c r="G113" s="23" t="s">
        <v>122</v>
      </c>
      <c r="H113" s="25">
        <v>0</v>
      </c>
      <c r="I113" s="1"/>
      <c r="J113" s="26"/>
      <c r="K113" s="27">
        <f t="shared" si="3"/>
        <v>0</v>
      </c>
      <c r="L113" s="27"/>
      <c r="M113" s="27"/>
      <c r="N113" s="1"/>
      <c r="O113" s="27">
        <f t="shared" si="4"/>
        <v>0</v>
      </c>
      <c r="P113" s="27"/>
      <c r="Q113" s="27"/>
      <c r="R113" s="20"/>
    </row>
    <row r="114" spans="1:38" ht="15" customHeight="1">
      <c r="A114" s="24">
        <v>55</v>
      </c>
      <c r="B114" s="23" t="s">
        <v>79</v>
      </c>
      <c r="C114" s="24" t="s">
        <v>18</v>
      </c>
      <c r="D114" s="23"/>
      <c r="E114" s="23" t="s">
        <v>19</v>
      </c>
      <c r="F114" s="23"/>
      <c r="G114" s="23" t="s">
        <v>142</v>
      </c>
      <c r="H114" s="25">
        <v>0</v>
      </c>
      <c r="I114" s="1"/>
      <c r="J114" s="26"/>
      <c r="K114" s="27">
        <f t="shared" si="3"/>
        <v>0</v>
      </c>
      <c r="L114" s="27"/>
      <c r="M114" s="27"/>
      <c r="N114" s="1"/>
      <c r="O114" s="27">
        <f t="shared" si="4"/>
        <v>0</v>
      </c>
      <c r="P114" s="27"/>
      <c r="Q114" s="27"/>
      <c r="R114" s="20"/>
    </row>
    <row r="115" spans="1:38" ht="15" customHeight="1">
      <c r="A115" s="24">
        <v>56</v>
      </c>
      <c r="B115" s="23" t="s">
        <v>80</v>
      </c>
      <c r="C115" s="24" t="s">
        <v>18</v>
      </c>
      <c r="D115" s="23"/>
      <c r="E115" s="23" t="s">
        <v>19</v>
      </c>
      <c r="F115" s="23" t="s">
        <v>120</v>
      </c>
      <c r="G115" s="23" t="s">
        <v>142</v>
      </c>
      <c r="H115" s="25">
        <v>11</v>
      </c>
      <c r="I115" s="1">
        <v>6</v>
      </c>
      <c r="J115" s="26">
        <v>7</v>
      </c>
      <c r="K115" s="27">
        <f t="shared" si="3"/>
        <v>0</v>
      </c>
      <c r="L115" s="27"/>
      <c r="M115" s="27"/>
      <c r="N115" s="1">
        <v>4</v>
      </c>
      <c r="O115" s="27">
        <f t="shared" si="4"/>
        <v>0</v>
      </c>
      <c r="P115" s="27"/>
      <c r="Q115" s="27"/>
      <c r="R115" s="20"/>
    </row>
    <row r="116" spans="1:38" s="7" customFormat="1" ht="15" customHeight="1">
      <c r="A116" s="24"/>
      <c r="B116" s="23" t="s">
        <v>80</v>
      </c>
      <c r="C116" s="24" t="s">
        <v>18</v>
      </c>
      <c r="D116" s="23"/>
      <c r="E116" s="23" t="s">
        <v>19</v>
      </c>
      <c r="F116" s="23" t="s">
        <v>120</v>
      </c>
      <c r="G116" s="23" t="s">
        <v>122</v>
      </c>
      <c r="H116" s="25">
        <v>0</v>
      </c>
      <c r="I116" s="1"/>
      <c r="J116" s="26"/>
      <c r="K116" s="27">
        <f t="shared" si="3"/>
        <v>0</v>
      </c>
      <c r="L116" s="27"/>
      <c r="M116" s="27"/>
      <c r="N116" s="1"/>
      <c r="O116" s="27">
        <f t="shared" si="4"/>
        <v>0</v>
      </c>
      <c r="P116" s="27"/>
      <c r="Q116" s="27"/>
      <c r="R116" s="20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</row>
    <row r="117" spans="1:38" s="7" customFormat="1" ht="15" customHeight="1">
      <c r="A117" s="24">
        <v>57</v>
      </c>
      <c r="B117" s="23" t="s">
        <v>372</v>
      </c>
      <c r="C117" s="24" t="s">
        <v>18</v>
      </c>
      <c r="D117" s="23"/>
      <c r="E117" s="23" t="s">
        <v>19</v>
      </c>
      <c r="F117" s="23" t="s">
        <v>298</v>
      </c>
      <c r="G117" s="23" t="s">
        <v>142</v>
      </c>
      <c r="H117" s="25">
        <v>4</v>
      </c>
      <c r="I117" s="1"/>
      <c r="J117" s="26"/>
      <c r="K117" s="27">
        <v>0</v>
      </c>
      <c r="L117" s="27"/>
      <c r="M117" s="27"/>
      <c r="N117" s="1"/>
      <c r="O117" s="27">
        <v>0</v>
      </c>
      <c r="P117" s="27"/>
      <c r="Q117" s="27"/>
      <c r="R117" s="20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 spans="1:38" s="7" customFormat="1" ht="15" customHeight="1">
      <c r="A118" s="24">
        <v>58</v>
      </c>
      <c r="B118" s="23" t="s">
        <v>313</v>
      </c>
      <c r="C118" s="24" t="s">
        <v>18</v>
      </c>
      <c r="D118" s="23"/>
      <c r="E118" s="23"/>
      <c r="F118" s="23" t="s">
        <v>342</v>
      </c>
      <c r="G118" s="23" t="s">
        <v>131</v>
      </c>
      <c r="H118" s="25">
        <v>0</v>
      </c>
      <c r="I118" s="1"/>
      <c r="J118" s="26"/>
      <c r="K118" s="27">
        <f t="shared" si="3"/>
        <v>0</v>
      </c>
      <c r="L118" s="27"/>
      <c r="M118" s="27"/>
      <c r="N118" s="1"/>
      <c r="O118" s="27">
        <f t="shared" si="4"/>
        <v>0</v>
      </c>
      <c r="P118" s="27"/>
      <c r="Q118" s="27"/>
      <c r="R118" s="20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 spans="1:38" s="7" customFormat="1" ht="15" customHeight="1">
      <c r="A119" s="24"/>
      <c r="B119" s="23" t="s">
        <v>313</v>
      </c>
      <c r="C119" s="24" t="s">
        <v>18</v>
      </c>
      <c r="D119" s="23"/>
      <c r="E119" s="23" t="s">
        <v>41</v>
      </c>
      <c r="F119" s="23" t="s">
        <v>366</v>
      </c>
      <c r="G119" s="23" t="s">
        <v>136</v>
      </c>
      <c r="H119" s="25">
        <v>6</v>
      </c>
      <c r="I119" s="1"/>
      <c r="J119" s="26"/>
      <c r="K119" s="27">
        <f t="shared" si="3"/>
        <v>0</v>
      </c>
      <c r="L119" s="27"/>
      <c r="M119" s="27"/>
      <c r="N119" s="1"/>
      <c r="O119" s="27">
        <f t="shared" si="4"/>
        <v>0</v>
      </c>
      <c r="P119" s="27"/>
      <c r="Q119" s="27"/>
      <c r="R119" s="20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 spans="1:38" s="7" customFormat="1" ht="15" customHeight="1">
      <c r="A120" s="24">
        <v>59</v>
      </c>
      <c r="B120" s="23" t="s">
        <v>373</v>
      </c>
      <c r="C120" s="24" t="s">
        <v>52</v>
      </c>
      <c r="D120" s="23" t="s">
        <v>378</v>
      </c>
      <c r="E120" s="23" t="s">
        <v>104</v>
      </c>
      <c r="F120" s="23" t="s">
        <v>298</v>
      </c>
      <c r="G120" s="23" t="s">
        <v>142</v>
      </c>
      <c r="H120" s="25">
        <v>1</v>
      </c>
      <c r="I120" s="1"/>
      <c r="J120" s="26"/>
      <c r="K120" s="27">
        <v>0</v>
      </c>
      <c r="L120" s="27"/>
      <c r="M120" s="27"/>
      <c r="N120" s="1"/>
      <c r="O120" s="27">
        <v>0</v>
      </c>
      <c r="P120" s="27"/>
      <c r="Q120" s="27"/>
      <c r="R120" s="20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 spans="1:38" ht="15" customHeight="1">
      <c r="A121" s="24">
        <v>60</v>
      </c>
      <c r="B121" s="23" t="s">
        <v>81</v>
      </c>
      <c r="C121" s="24" t="s">
        <v>18</v>
      </c>
      <c r="D121" s="23"/>
      <c r="E121" s="23" t="s">
        <v>19</v>
      </c>
      <c r="F121" s="23" t="s">
        <v>120</v>
      </c>
      <c r="G121" s="23" t="s">
        <v>142</v>
      </c>
      <c r="H121" s="25">
        <v>1</v>
      </c>
      <c r="I121" s="1"/>
      <c r="J121" s="26"/>
      <c r="K121" s="27">
        <f t="shared" si="3"/>
        <v>0</v>
      </c>
      <c r="L121" s="27"/>
      <c r="M121" s="27"/>
      <c r="N121" s="1">
        <v>1</v>
      </c>
      <c r="O121" s="27">
        <f t="shared" si="4"/>
        <v>2479.17</v>
      </c>
      <c r="P121" s="27">
        <v>2479.17</v>
      </c>
      <c r="Q121" s="27"/>
      <c r="R121" s="20"/>
    </row>
    <row r="122" spans="1:38" ht="15" customHeight="1">
      <c r="A122" s="24"/>
      <c r="B122" s="23" t="s">
        <v>81</v>
      </c>
      <c r="C122" s="24" t="s">
        <v>18</v>
      </c>
      <c r="D122" s="23"/>
      <c r="E122" s="23" t="s">
        <v>19</v>
      </c>
      <c r="F122" s="23" t="s">
        <v>292</v>
      </c>
      <c r="G122" s="23" t="s">
        <v>122</v>
      </c>
      <c r="H122" s="25">
        <v>0</v>
      </c>
      <c r="I122" s="1"/>
      <c r="J122" s="26"/>
      <c r="K122" s="27">
        <f t="shared" si="3"/>
        <v>0</v>
      </c>
      <c r="L122" s="27"/>
      <c r="M122" s="27"/>
      <c r="N122" s="1">
        <v>1</v>
      </c>
      <c r="O122" s="27">
        <f t="shared" si="4"/>
        <v>0</v>
      </c>
      <c r="P122" s="27"/>
      <c r="Q122" s="27"/>
      <c r="R122" s="20"/>
    </row>
    <row r="123" spans="1:38" s="7" customFormat="1" ht="15" customHeight="1">
      <c r="A123" s="24">
        <v>61</v>
      </c>
      <c r="B123" s="23" t="s">
        <v>82</v>
      </c>
      <c r="C123" s="24" t="s">
        <v>18</v>
      </c>
      <c r="D123" s="23"/>
      <c r="E123" s="23" t="s">
        <v>19</v>
      </c>
      <c r="F123" s="23" t="s">
        <v>295</v>
      </c>
      <c r="G123" s="23" t="s">
        <v>142</v>
      </c>
      <c r="H123" s="25">
        <v>9</v>
      </c>
      <c r="I123" s="1">
        <v>5</v>
      </c>
      <c r="J123" s="26">
        <v>5</v>
      </c>
      <c r="K123" s="27">
        <f t="shared" si="3"/>
        <v>0</v>
      </c>
      <c r="L123" s="27"/>
      <c r="M123" s="27"/>
      <c r="N123" s="1">
        <v>4</v>
      </c>
      <c r="O123" s="27">
        <f t="shared" si="4"/>
        <v>0</v>
      </c>
      <c r="P123" s="27"/>
      <c r="Q123" s="27"/>
      <c r="R123" s="20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 spans="1:38" s="7" customFormat="1" ht="15" customHeight="1">
      <c r="A124" s="24"/>
      <c r="B124" s="23" t="s">
        <v>82</v>
      </c>
      <c r="C124" s="24" t="s">
        <v>18</v>
      </c>
      <c r="D124" s="23"/>
      <c r="E124" s="23" t="s">
        <v>19</v>
      </c>
      <c r="F124" s="23" t="s">
        <v>295</v>
      </c>
      <c r="G124" s="23" t="s">
        <v>122</v>
      </c>
      <c r="H124" s="25">
        <v>0</v>
      </c>
      <c r="I124" s="1"/>
      <c r="J124" s="26"/>
      <c r="K124" s="27">
        <f t="shared" si="3"/>
        <v>0</v>
      </c>
      <c r="L124" s="27"/>
      <c r="M124" s="27"/>
      <c r="N124" s="1">
        <v>2</v>
      </c>
      <c r="O124" s="27">
        <f t="shared" si="4"/>
        <v>0</v>
      </c>
      <c r="P124" s="27"/>
      <c r="Q124" s="27"/>
      <c r="R124" s="20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 spans="1:38" ht="14.45" customHeight="1">
      <c r="A125" s="24">
        <v>62</v>
      </c>
      <c r="B125" s="23" t="s">
        <v>83</v>
      </c>
      <c r="C125" s="24" t="s">
        <v>30</v>
      </c>
      <c r="D125" s="23" t="s">
        <v>184</v>
      </c>
      <c r="E125" s="23" t="s">
        <v>19</v>
      </c>
      <c r="F125" s="23" t="s">
        <v>123</v>
      </c>
      <c r="G125" s="23" t="s">
        <v>142</v>
      </c>
      <c r="H125" s="25">
        <v>29</v>
      </c>
      <c r="I125" s="1">
        <v>15</v>
      </c>
      <c r="J125" s="26">
        <v>15</v>
      </c>
      <c r="K125" s="27">
        <f t="shared" si="3"/>
        <v>0</v>
      </c>
      <c r="L125" s="27"/>
      <c r="M125" s="27"/>
      <c r="N125" s="1">
        <v>8</v>
      </c>
      <c r="O125" s="27">
        <f t="shared" si="4"/>
        <v>4741.68</v>
      </c>
      <c r="P125" s="27">
        <v>4741.68</v>
      </c>
      <c r="Q125" s="27"/>
      <c r="R125" s="20"/>
    </row>
    <row r="126" spans="1:38" ht="14.45" customHeight="1">
      <c r="A126" s="24">
        <v>63</v>
      </c>
      <c r="B126" s="23" t="s">
        <v>303</v>
      </c>
      <c r="C126" s="24" t="s">
        <v>18</v>
      </c>
      <c r="D126" s="23"/>
      <c r="E126" s="23" t="s">
        <v>304</v>
      </c>
      <c r="F126" s="23" t="s">
        <v>298</v>
      </c>
      <c r="G126" s="23" t="s">
        <v>131</v>
      </c>
      <c r="H126" s="25">
        <v>7</v>
      </c>
      <c r="I126" s="1"/>
      <c r="J126" s="26"/>
      <c r="K126" s="27">
        <f t="shared" si="3"/>
        <v>0</v>
      </c>
      <c r="L126" s="27"/>
      <c r="M126" s="27"/>
      <c r="N126" s="1"/>
      <c r="O126" s="27">
        <f t="shared" si="4"/>
        <v>0</v>
      </c>
      <c r="P126" s="27"/>
      <c r="Q126" s="27"/>
      <c r="R126" s="20"/>
    </row>
    <row r="127" spans="1:38" s="7" customFormat="1" ht="15" customHeight="1">
      <c r="A127" s="24">
        <v>64</v>
      </c>
      <c r="B127" s="23" t="s">
        <v>84</v>
      </c>
      <c r="C127" s="24" t="s">
        <v>18</v>
      </c>
      <c r="D127" s="23"/>
      <c r="E127" s="23" t="s">
        <v>19</v>
      </c>
      <c r="F127" s="23" t="s">
        <v>123</v>
      </c>
      <c r="G127" s="23" t="s">
        <v>142</v>
      </c>
      <c r="H127" s="25">
        <v>11</v>
      </c>
      <c r="I127" s="1">
        <v>6</v>
      </c>
      <c r="J127" s="26">
        <v>6</v>
      </c>
      <c r="K127" s="27">
        <f t="shared" si="3"/>
        <v>0</v>
      </c>
      <c r="L127" s="27"/>
      <c r="M127" s="27"/>
      <c r="N127" s="1">
        <v>8</v>
      </c>
      <c r="O127" s="27">
        <f t="shared" si="4"/>
        <v>3710.9</v>
      </c>
      <c r="P127" s="27">
        <f>919.46+2791.44</f>
        <v>3710.9</v>
      </c>
      <c r="Q127" s="27"/>
      <c r="R127" s="20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 spans="1:38" ht="15" customHeight="1">
      <c r="A128" s="24"/>
      <c r="B128" s="23" t="s">
        <v>84</v>
      </c>
      <c r="C128" s="24" t="s">
        <v>18</v>
      </c>
      <c r="D128" s="23"/>
      <c r="E128" s="23" t="s">
        <v>19</v>
      </c>
      <c r="F128" s="23" t="s">
        <v>123</v>
      </c>
      <c r="G128" s="23" t="s">
        <v>122</v>
      </c>
      <c r="H128" s="25">
        <v>0</v>
      </c>
      <c r="I128" s="1"/>
      <c r="J128" s="26"/>
      <c r="K128" s="27">
        <f t="shared" si="3"/>
        <v>0</v>
      </c>
      <c r="L128" s="27"/>
      <c r="M128" s="27"/>
      <c r="N128" s="1"/>
      <c r="O128" s="27">
        <f t="shared" si="4"/>
        <v>0</v>
      </c>
      <c r="P128" s="27"/>
      <c r="Q128" s="27"/>
      <c r="R128" s="20"/>
    </row>
    <row r="129" spans="1:38" ht="15" customHeight="1">
      <c r="A129" s="24">
        <v>65</v>
      </c>
      <c r="B129" s="23" t="s">
        <v>85</v>
      </c>
      <c r="C129" s="24" t="s">
        <v>18</v>
      </c>
      <c r="D129" s="23"/>
      <c r="E129" s="23" t="s">
        <v>77</v>
      </c>
      <c r="F129" s="23" t="s">
        <v>120</v>
      </c>
      <c r="G129" s="23" t="s">
        <v>142</v>
      </c>
      <c r="H129" s="25">
        <v>11</v>
      </c>
      <c r="I129" s="1"/>
      <c r="J129" s="26"/>
      <c r="K129" s="27">
        <f t="shared" si="3"/>
        <v>0</v>
      </c>
      <c r="L129" s="27"/>
      <c r="M129" s="27"/>
      <c r="N129" s="1">
        <v>9</v>
      </c>
      <c r="O129" s="27">
        <f t="shared" si="4"/>
        <v>0</v>
      </c>
      <c r="P129" s="27"/>
      <c r="Q129" s="27"/>
      <c r="R129" s="20"/>
    </row>
    <row r="130" spans="1:38" ht="15" customHeight="1">
      <c r="A130" s="24"/>
      <c r="B130" s="23" t="s">
        <v>85</v>
      </c>
      <c r="C130" s="24" t="s">
        <v>18</v>
      </c>
      <c r="D130" s="23"/>
      <c r="E130" s="23" t="s">
        <v>301</v>
      </c>
      <c r="F130" s="23" t="s">
        <v>337</v>
      </c>
      <c r="G130" s="23" t="s">
        <v>131</v>
      </c>
      <c r="H130" s="25">
        <v>19</v>
      </c>
      <c r="I130" s="1"/>
      <c r="J130" s="26"/>
      <c r="K130" s="27">
        <f t="shared" si="3"/>
        <v>0</v>
      </c>
      <c r="L130" s="27"/>
      <c r="M130" s="27"/>
      <c r="N130" s="1">
        <v>5</v>
      </c>
      <c r="O130" s="27">
        <f t="shared" si="4"/>
        <v>0</v>
      </c>
      <c r="P130" s="27"/>
      <c r="Q130" s="27"/>
      <c r="R130" s="20"/>
    </row>
    <row r="131" spans="1:38" ht="15" customHeight="1">
      <c r="A131" s="24">
        <v>66</v>
      </c>
      <c r="B131" s="23" t="s">
        <v>86</v>
      </c>
      <c r="C131" s="24" t="s">
        <v>18</v>
      </c>
      <c r="D131" s="23"/>
      <c r="E131" s="23" t="s">
        <v>77</v>
      </c>
      <c r="F131" s="23" t="s">
        <v>295</v>
      </c>
      <c r="G131" s="23" t="s">
        <v>142</v>
      </c>
      <c r="H131" s="25">
        <v>6</v>
      </c>
      <c r="I131" s="1"/>
      <c r="J131" s="26"/>
      <c r="K131" s="27">
        <f t="shared" si="3"/>
        <v>0</v>
      </c>
      <c r="L131" s="27"/>
      <c r="M131" s="27"/>
      <c r="N131" s="1">
        <v>3</v>
      </c>
      <c r="O131" s="27">
        <f t="shared" si="4"/>
        <v>3824.23</v>
      </c>
      <c r="P131" s="27">
        <f>1359.87+2464.36</f>
        <v>3824.23</v>
      </c>
      <c r="Q131" s="27"/>
      <c r="R131" s="20"/>
    </row>
    <row r="132" spans="1:38" ht="15" customHeight="1">
      <c r="A132" s="24"/>
      <c r="B132" s="23" t="s">
        <v>86</v>
      </c>
      <c r="C132" s="24" t="s">
        <v>18</v>
      </c>
      <c r="D132" s="23"/>
      <c r="E132" s="23" t="s">
        <v>301</v>
      </c>
      <c r="F132" s="23" t="s">
        <v>338</v>
      </c>
      <c r="G132" s="23" t="s">
        <v>131</v>
      </c>
      <c r="H132" s="25">
        <v>1</v>
      </c>
      <c r="I132" s="1"/>
      <c r="J132" s="26"/>
      <c r="K132" s="27">
        <f t="shared" si="3"/>
        <v>0</v>
      </c>
      <c r="L132" s="27"/>
      <c r="M132" s="27"/>
      <c r="N132" s="1"/>
      <c r="O132" s="27">
        <f t="shared" si="4"/>
        <v>0</v>
      </c>
      <c r="P132" s="27"/>
      <c r="Q132" s="27"/>
      <c r="R132" s="20"/>
    </row>
    <row r="133" spans="1:38" ht="28.9" customHeight="1">
      <c r="A133" s="29">
        <v>67</v>
      </c>
      <c r="B133" s="30" t="s">
        <v>87</v>
      </c>
      <c r="C133" s="29" t="s">
        <v>52</v>
      </c>
      <c r="D133" s="30" t="s">
        <v>88</v>
      </c>
      <c r="E133" s="30" t="s">
        <v>19</v>
      </c>
      <c r="F133" s="30" t="s">
        <v>292</v>
      </c>
      <c r="G133" s="30" t="s">
        <v>142</v>
      </c>
      <c r="H133" s="25">
        <v>0</v>
      </c>
      <c r="I133" s="1"/>
      <c r="J133" s="26"/>
      <c r="K133" s="27">
        <f t="shared" si="3"/>
        <v>0</v>
      </c>
      <c r="L133" s="27"/>
      <c r="M133" s="27"/>
      <c r="N133" s="1"/>
      <c r="O133" s="27">
        <f t="shared" si="4"/>
        <v>0</v>
      </c>
      <c r="P133" s="27"/>
      <c r="Q133" s="27"/>
      <c r="R133" s="20"/>
    </row>
    <row r="134" spans="1:38" ht="29.25" customHeight="1">
      <c r="A134" s="29"/>
      <c r="B134" s="30" t="s">
        <v>87</v>
      </c>
      <c r="C134" s="29" t="s">
        <v>52</v>
      </c>
      <c r="D134" s="30" t="s">
        <v>88</v>
      </c>
      <c r="E134" s="30" t="s">
        <v>19</v>
      </c>
      <c r="F134" s="30" t="s">
        <v>376</v>
      </c>
      <c r="G134" s="30" t="s">
        <v>122</v>
      </c>
      <c r="H134" s="25">
        <v>6</v>
      </c>
      <c r="I134" s="1"/>
      <c r="J134" s="26"/>
      <c r="K134" s="27">
        <f t="shared" si="3"/>
        <v>0</v>
      </c>
      <c r="L134" s="27"/>
      <c r="M134" s="27"/>
      <c r="N134" s="1">
        <v>1</v>
      </c>
      <c r="O134" s="27">
        <f t="shared" si="4"/>
        <v>440.5</v>
      </c>
      <c r="P134" s="27">
        <v>440.5</v>
      </c>
      <c r="Q134" s="27"/>
      <c r="R134" s="20"/>
    </row>
    <row r="135" spans="1:38" ht="26.25" customHeight="1">
      <c r="A135" s="24">
        <v>68</v>
      </c>
      <c r="B135" s="23" t="s">
        <v>89</v>
      </c>
      <c r="C135" s="24" t="s">
        <v>18</v>
      </c>
      <c r="D135" s="23"/>
      <c r="E135" s="23" t="s">
        <v>19</v>
      </c>
      <c r="F135" s="23" t="s">
        <v>292</v>
      </c>
      <c r="G135" s="23" t="s">
        <v>142</v>
      </c>
      <c r="H135" s="25">
        <v>2</v>
      </c>
      <c r="I135" s="1">
        <v>1</v>
      </c>
      <c r="J135" s="26">
        <v>1</v>
      </c>
      <c r="K135" s="27">
        <f t="shared" si="3"/>
        <v>0</v>
      </c>
      <c r="L135" s="27"/>
      <c r="M135" s="27"/>
      <c r="N135" s="1">
        <v>6</v>
      </c>
      <c r="O135" s="27">
        <f t="shared" si="4"/>
        <v>1217</v>
      </c>
      <c r="P135" s="27">
        <v>1217</v>
      </c>
      <c r="Q135" s="27"/>
      <c r="R135" s="20"/>
    </row>
    <row r="136" spans="1:38" s="7" customFormat="1" ht="15" customHeight="1">
      <c r="A136" s="24"/>
      <c r="B136" s="23" t="s">
        <v>89</v>
      </c>
      <c r="C136" s="24" t="s">
        <v>18</v>
      </c>
      <c r="D136" s="23"/>
      <c r="E136" s="23" t="s">
        <v>19</v>
      </c>
      <c r="F136" s="23" t="s">
        <v>120</v>
      </c>
      <c r="G136" s="23" t="s">
        <v>122</v>
      </c>
      <c r="H136" s="25">
        <v>1</v>
      </c>
      <c r="I136" s="1"/>
      <c r="J136" s="26"/>
      <c r="K136" s="27">
        <f t="shared" si="3"/>
        <v>0</v>
      </c>
      <c r="L136" s="27"/>
      <c r="M136" s="27"/>
      <c r="N136" s="1">
        <v>1</v>
      </c>
      <c r="O136" s="27">
        <f t="shared" si="4"/>
        <v>0</v>
      </c>
      <c r="P136" s="27"/>
      <c r="Q136" s="27"/>
      <c r="R136" s="20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</row>
    <row r="137" spans="1:38" ht="15" customHeight="1">
      <c r="A137" s="24">
        <v>69</v>
      </c>
      <c r="B137" s="23" t="s">
        <v>90</v>
      </c>
      <c r="C137" s="24" t="s">
        <v>18</v>
      </c>
      <c r="D137" s="23"/>
      <c r="E137" s="23" t="s">
        <v>19</v>
      </c>
      <c r="F137" s="23" t="s">
        <v>292</v>
      </c>
      <c r="G137" s="23" t="s">
        <v>142</v>
      </c>
      <c r="H137" s="25">
        <v>3</v>
      </c>
      <c r="I137" s="1">
        <v>1</v>
      </c>
      <c r="J137" s="26">
        <v>1</v>
      </c>
      <c r="K137" s="27">
        <f t="shared" si="3"/>
        <v>0</v>
      </c>
      <c r="L137" s="27"/>
      <c r="M137" s="27"/>
      <c r="N137" s="1">
        <v>2</v>
      </c>
      <c r="O137" s="27">
        <f t="shared" si="4"/>
        <v>0</v>
      </c>
      <c r="P137" s="27"/>
      <c r="Q137" s="27"/>
      <c r="R137" s="20"/>
    </row>
    <row r="138" spans="1:38" s="7" customFormat="1" ht="15" customHeight="1">
      <c r="A138" s="24">
        <v>70</v>
      </c>
      <c r="B138" s="23" t="s">
        <v>91</v>
      </c>
      <c r="C138" s="24" t="s">
        <v>18</v>
      </c>
      <c r="D138" s="23"/>
      <c r="E138" s="23" t="s">
        <v>92</v>
      </c>
      <c r="F138" s="23" t="s">
        <v>292</v>
      </c>
      <c r="G138" s="23" t="s">
        <v>142</v>
      </c>
      <c r="H138" s="25">
        <v>0</v>
      </c>
      <c r="I138" s="1"/>
      <c r="J138" s="26"/>
      <c r="K138" s="27">
        <f t="shared" si="3"/>
        <v>0</v>
      </c>
      <c r="L138" s="27"/>
      <c r="M138" s="27"/>
      <c r="N138" s="1">
        <v>11</v>
      </c>
      <c r="O138" s="27">
        <f t="shared" si="4"/>
        <v>0</v>
      </c>
      <c r="P138" s="27"/>
      <c r="Q138" s="27"/>
      <c r="R138" s="20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</row>
    <row r="139" spans="1:38" s="7" customFormat="1" ht="15" customHeight="1">
      <c r="A139" s="24"/>
      <c r="B139" s="23" t="s">
        <v>91</v>
      </c>
      <c r="C139" s="24" t="s">
        <v>18</v>
      </c>
      <c r="D139" s="23"/>
      <c r="E139" s="23" t="s">
        <v>92</v>
      </c>
      <c r="F139" s="23" t="s">
        <v>123</v>
      </c>
      <c r="G139" s="23" t="s">
        <v>136</v>
      </c>
      <c r="H139" s="25">
        <v>0</v>
      </c>
      <c r="I139" s="2"/>
      <c r="J139" s="26"/>
      <c r="K139" s="27">
        <f t="shared" si="3"/>
        <v>0</v>
      </c>
      <c r="L139" s="27"/>
      <c r="M139" s="27"/>
      <c r="N139" s="2">
        <v>3</v>
      </c>
      <c r="O139" s="27">
        <f t="shared" si="4"/>
        <v>0</v>
      </c>
      <c r="P139" s="27"/>
      <c r="Q139" s="27"/>
      <c r="R139" s="20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 spans="1:38" ht="15" customHeight="1">
      <c r="A140" s="24">
        <v>71</v>
      </c>
      <c r="B140" s="23" t="s">
        <v>93</v>
      </c>
      <c r="C140" s="24" t="s">
        <v>18</v>
      </c>
      <c r="D140" s="23"/>
      <c r="E140" s="23" t="s">
        <v>19</v>
      </c>
      <c r="F140" s="23" t="s">
        <v>123</v>
      </c>
      <c r="G140" s="23" t="s">
        <v>142</v>
      </c>
      <c r="H140" s="25">
        <v>0</v>
      </c>
      <c r="I140" s="2"/>
      <c r="J140" s="26"/>
      <c r="K140" s="27">
        <f t="shared" si="3"/>
        <v>0</v>
      </c>
      <c r="L140" s="27"/>
      <c r="M140" s="27"/>
      <c r="N140" s="2">
        <v>1</v>
      </c>
      <c r="O140" s="27">
        <f t="shared" si="4"/>
        <v>0</v>
      </c>
      <c r="P140" s="27"/>
      <c r="Q140" s="27"/>
      <c r="R140" s="20"/>
    </row>
    <row r="141" spans="1:38" s="17" customFormat="1" ht="15" customHeight="1">
      <c r="A141" s="24"/>
      <c r="B141" s="23" t="s">
        <v>93</v>
      </c>
      <c r="C141" s="24" t="s">
        <v>18</v>
      </c>
      <c r="D141" s="23"/>
      <c r="E141" s="23" t="s">
        <v>19</v>
      </c>
      <c r="F141" s="23" t="s">
        <v>120</v>
      </c>
      <c r="G141" s="23" t="s">
        <v>131</v>
      </c>
      <c r="H141" s="25">
        <v>0</v>
      </c>
      <c r="I141" s="1"/>
      <c r="J141" s="26"/>
      <c r="K141" s="27">
        <f t="shared" si="3"/>
        <v>0</v>
      </c>
      <c r="L141" s="27"/>
      <c r="M141" s="27"/>
      <c r="N141" s="1"/>
      <c r="O141" s="27">
        <f t="shared" si="4"/>
        <v>0</v>
      </c>
      <c r="P141" s="27"/>
      <c r="Q141" s="27"/>
      <c r="R141" s="20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</row>
    <row r="142" spans="1:38" ht="15" customHeight="1">
      <c r="A142" s="24"/>
      <c r="B142" s="23" t="s">
        <v>93</v>
      </c>
      <c r="C142" s="24" t="s">
        <v>18</v>
      </c>
      <c r="D142" s="23"/>
      <c r="E142" s="23"/>
      <c r="F142" s="23" t="s">
        <v>268</v>
      </c>
      <c r="G142" s="23" t="s">
        <v>122</v>
      </c>
      <c r="H142" s="25">
        <v>5</v>
      </c>
      <c r="I142" s="1"/>
      <c r="J142" s="26"/>
      <c r="K142" s="27">
        <f t="shared" si="3"/>
        <v>0</v>
      </c>
      <c r="L142" s="27"/>
      <c r="M142" s="27"/>
      <c r="N142" s="1"/>
      <c r="O142" s="27">
        <f t="shared" si="4"/>
        <v>0</v>
      </c>
      <c r="P142" s="27"/>
      <c r="Q142" s="27"/>
      <c r="R142" s="20"/>
    </row>
    <row r="143" spans="1:38" ht="15" customHeight="1">
      <c r="A143" s="24">
        <v>72</v>
      </c>
      <c r="B143" s="23" t="s">
        <v>281</v>
      </c>
      <c r="C143" s="24" t="s">
        <v>18</v>
      </c>
      <c r="D143" s="23"/>
      <c r="E143" s="23" t="s">
        <v>19</v>
      </c>
      <c r="F143" s="23" t="s">
        <v>123</v>
      </c>
      <c r="G143" s="23" t="s">
        <v>142</v>
      </c>
      <c r="H143" s="25">
        <v>6</v>
      </c>
      <c r="I143" s="1">
        <v>4</v>
      </c>
      <c r="J143" s="26">
        <v>4</v>
      </c>
      <c r="K143" s="27">
        <f t="shared" si="3"/>
        <v>0</v>
      </c>
      <c r="L143" s="27"/>
      <c r="M143" s="27"/>
      <c r="N143" s="1">
        <v>1</v>
      </c>
      <c r="O143" s="27">
        <f t="shared" si="4"/>
        <v>0</v>
      </c>
      <c r="P143" s="27"/>
      <c r="Q143" s="27"/>
      <c r="R143" s="20"/>
    </row>
    <row r="144" spans="1:38" ht="15" customHeight="1">
      <c r="A144" s="24"/>
      <c r="B144" s="23" t="s">
        <v>281</v>
      </c>
      <c r="C144" s="24" t="s">
        <v>18</v>
      </c>
      <c r="D144" s="23"/>
      <c r="E144" s="23" t="s">
        <v>19</v>
      </c>
      <c r="F144" s="23" t="s">
        <v>285</v>
      </c>
      <c r="G144" s="23" t="s">
        <v>131</v>
      </c>
      <c r="H144" s="25">
        <v>0</v>
      </c>
      <c r="I144" s="1"/>
      <c r="J144" s="26"/>
      <c r="K144" s="27">
        <f t="shared" si="3"/>
        <v>0</v>
      </c>
      <c r="L144" s="27"/>
      <c r="M144" s="27"/>
      <c r="N144" s="1">
        <v>1</v>
      </c>
      <c r="O144" s="27">
        <f t="shared" si="4"/>
        <v>0</v>
      </c>
      <c r="P144" s="27"/>
      <c r="Q144" s="27"/>
      <c r="R144" s="20"/>
    </row>
    <row r="145" spans="1:38" ht="15" customHeight="1">
      <c r="A145" s="24"/>
      <c r="B145" s="23" t="s">
        <v>281</v>
      </c>
      <c r="C145" s="24" t="s">
        <v>18</v>
      </c>
      <c r="D145" s="23"/>
      <c r="E145" s="23" t="s">
        <v>19</v>
      </c>
      <c r="F145" s="23" t="s">
        <v>349</v>
      </c>
      <c r="G145" s="23" t="s">
        <v>122</v>
      </c>
      <c r="H145" s="25">
        <v>10</v>
      </c>
      <c r="I145" s="1"/>
      <c r="J145" s="26"/>
      <c r="K145" s="27">
        <f t="shared" si="3"/>
        <v>0</v>
      </c>
      <c r="L145" s="27"/>
      <c r="M145" s="27"/>
      <c r="N145" s="1">
        <v>1</v>
      </c>
      <c r="O145" s="27">
        <f t="shared" si="4"/>
        <v>1019.74</v>
      </c>
      <c r="P145" s="27">
        <v>1019.74</v>
      </c>
      <c r="Q145" s="27"/>
      <c r="R145" s="20"/>
    </row>
    <row r="146" spans="1:38" ht="15" customHeight="1">
      <c r="A146" s="24">
        <v>73</v>
      </c>
      <c r="B146" s="23" t="s">
        <v>94</v>
      </c>
      <c r="C146" s="24" t="s">
        <v>18</v>
      </c>
      <c r="D146" s="23"/>
      <c r="E146" s="23" t="s">
        <v>95</v>
      </c>
      <c r="F146" s="23" t="s">
        <v>292</v>
      </c>
      <c r="G146" s="23" t="s">
        <v>142</v>
      </c>
      <c r="H146" s="25">
        <v>12</v>
      </c>
      <c r="I146" s="1">
        <v>4</v>
      </c>
      <c r="J146" s="26">
        <v>4</v>
      </c>
      <c r="K146" s="27">
        <f t="shared" si="3"/>
        <v>0</v>
      </c>
      <c r="L146" s="27"/>
      <c r="M146" s="27"/>
      <c r="N146" s="1">
        <v>6</v>
      </c>
      <c r="O146" s="27">
        <f t="shared" si="4"/>
        <v>0</v>
      </c>
      <c r="P146" s="27"/>
      <c r="Q146" s="27"/>
      <c r="R146" s="20"/>
    </row>
    <row r="147" spans="1:38" s="7" customFormat="1" ht="15" customHeight="1">
      <c r="A147" s="24"/>
      <c r="B147" s="23" t="s">
        <v>128</v>
      </c>
      <c r="C147" s="24" t="s">
        <v>18</v>
      </c>
      <c r="D147" s="23"/>
      <c r="E147" s="23" t="s">
        <v>95</v>
      </c>
      <c r="F147" s="23" t="s">
        <v>319</v>
      </c>
      <c r="G147" s="23" t="s">
        <v>124</v>
      </c>
      <c r="H147" s="25">
        <v>2</v>
      </c>
      <c r="I147" s="1"/>
      <c r="J147" s="26"/>
      <c r="K147" s="27">
        <f t="shared" si="3"/>
        <v>0</v>
      </c>
      <c r="L147" s="27"/>
      <c r="M147" s="27"/>
      <c r="N147" s="1">
        <v>2</v>
      </c>
      <c r="O147" s="27">
        <f t="shared" si="4"/>
        <v>2753.33</v>
      </c>
      <c r="P147" s="27">
        <v>2753.33</v>
      </c>
      <c r="Q147" s="27"/>
      <c r="R147" s="20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</row>
    <row r="148" spans="1:38" ht="15" customHeight="1">
      <c r="A148" s="24"/>
      <c r="B148" s="23" t="s">
        <v>128</v>
      </c>
      <c r="C148" s="24" t="s">
        <v>18</v>
      </c>
      <c r="D148" s="23"/>
      <c r="E148" s="23" t="s">
        <v>95</v>
      </c>
      <c r="F148" s="23" t="s">
        <v>123</v>
      </c>
      <c r="G148" s="23" t="s">
        <v>131</v>
      </c>
      <c r="H148" s="25">
        <v>0</v>
      </c>
      <c r="I148" s="2"/>
      <c r="J148" s="26"/>
      <c r="K148" s="27">
        <f t="shared" si="3"/>
        <v>0</v>
      </c>
      <c r="L148" s="27"/>
      <c r="M148" s="27"/>
      <c r="N148" s="2"/>
      <c r="O148" s="27">
        <f t="shared" si="4"/>
        <v>0</v>
      </c>
      <c r="P148" s="27"/>
      <c r="Q148" s="27"/>
      <c r="R148" s="20"/>
    </row>
    <row r="149" spans="1:38" ht="15" customHeight="1">
      <c r="A149" s="24">
        <v>74</v>
      </c>
      <c r="B149" s="23" t="s">
        <v>96</v>
      </c>
      <c r="C149" s="24" t="s">
        <v>18</v>
      </c>
      <c r="D149" s="23"/>
      <c r="E149" s="23" t="s">
        <v>19</v>
      </c>
      <c r="F149" s="23" t="s">
        <v>120</v>
      </c>
      <c r="G149" s="23" t="s">
        <v>142</v>
      </c>
      <c r="H149" s="25">
        <v>4</v>
      </c>
      <c r="I149" s="1"/>
      <c r="J149" s="26"/>
      <c r="K149" s="27">
        <f t="shared" si="3"/>
        <v>0</v>
      </c>
      <c r="L149" s="27"/>
      <c r="M149" s="27"/>
      <c r="N149" s="1">
        <v>1</v>
      </c>
      <c r="O149" s="27">
        <f t="shared" si="4"/>
        <v>0</v>
      </c>
      <c r="P149" s="27"/>
      <c r="Q149" s="27"/>
      <c r="R149" s="20"/>
    </row>
    <row r="150" spans="1:38" ht="15" customHeight="1">
      <c r="A150" s="24"/>
      <c r="B150" s="23" t="s">
        <v>96</v>
      </c>
      <c r="C150" s="24" t="s">
        <v>18</v>
      </c>
      <c r="D150" s="23"/>
      <c r="E150" s="23" t="s">
        <v>19</v>
      </c>
      <c r="F150" s="23" t="s">
        <v>292</v>
      </c>
      <c r="G150" s="23" t="s">
        <v>131</v>
      </c>
      <c r="H150" s="25">
        <v>0</v>
      </c>
      <c r="I150" s="1"/>
      <c r="J150" s="26"/>
      <c r="K150" s="27">
        <f t="shared" si="3"/>
        <v>0</v>
      </c>
      <c r="L150" s="27"/>
      <c r="M150" s="27"/>
      <c r="N150" s="1">
        <v>1</v>
      </c>
      <c r="O150" s="27">
        <f t="shared" si="4"/>
        <v>0</v>
      </c>
      <c r="P150" s="27"/>
      <c r="Q150" s="27"/>
      <c r="R150" s="20"/>
    </row>
    <row r="151" spans="1:38" ht="15" customHeight="1">
      <c r="A151" s="24"/>
      <c r="B151" s="23" t="s">
        <v>96</v>
      </c>
      <c r="C151" s="24" t="s">
        <v>18</v>
      </c>
      <c r="D151" s="23"/>
      <c r="E151" s="23" t="s">
        <v>19</v>
      </c>
      <c r="F151" s="23" t="s">
        <v>367</v>
      </c>
      <c r="G151" s="23" t="s">
        <v>122</v>
      </c>
      <c r="H151" s="25">
        <v>5</v>
      </c>
      <c r="I151" s="1"/>
      <c r="J151" s="26"/>
      <c r="K151" s="27">
        <f t="shared" si="3"/>
        <v>0</v>
      </c>
      <c r="L151" s="27"/>
      <c r="M151" s="27"/>
      <c r="N151" s="1">
        <v>1</v>
      </c>
      <c r="O151" s="27">
        <f t="shared" si="4"/>
        <v>0</v>
      </c>
      <c r="P151" s="27"/>
      <c r="Q151" s="27"/>
      <c r="R151" s="20"/>
    </row>
    <row r="152" spans="1:38" ht="15" customHeight="1">
      <c r="A152" s="24"/>
      <c r="B152" s="23" t="s">
        <v>96</v>
      </c>
      <c r="C152" s="24" t="s">
        <v>18</v>
      </c>
      <c r="D152" s="23"/>
      <c r="E152" s="22" t="s">
        <v>19</v>
      </c>
      <c r="F152" s="23" t="s">
        <v>292</v>
      </c>
      <c r="G152" s="22" t="s">
        <v>136</v>
      </c>
      <c r="H152" s="45">
        <v>4</v>
      </c>
      <c r="I152" s="1"/>
      <c r="J152" s="26"/>
      <c r="K152" s="27">
        <f t="shared" ref="K152:K198" si="6">L152+M152</f>
        <v>0</v>
      </c>
      <c r="L152" s="27"/>
      <c r="M152" s="27"/>
      <c r="N152" s="1"/>
      <c r="O152" s="27">
        <f t="shared" si="4"/>
        <v>0</v>
      </c>
      <c r="P152" s="27"/>
      <c r="Q152" s="27"/>
      <c r="R152" s="20"/>
    </row>
    <row r="153" spans="1:38" ht="15" customHeight="1">
      <c r="A153" s="24">
        <v>75</v>
      </c>
      <c r="B153" s="23" t="s">
        <v>97</v>
      </c>
      <c r="C153" s="24" t="s">
        <v>18</v>
      </c>
      <c r="D153" s="23"/>
      <c r="E153" s="23" t="s">
        <v>19</v>
      </c>
      <c r="F153" s="23" t="s">
        <v>120</v>
      </c>
      <c r="G153" s="23" t="s">
        <v>142</v>
      </c>
      <c r="H153" s="25">
        <v>3</v>
      </c>
      <c r="I153" s="1"/>
      <c r="J153" s="26"/>
      <c r="K153" s="27">
        <f t="shared" si="6"/>
        <v>0</v>
      </c>
      <c r="L153" s="27"/>
      <c r="M153" s="27"/>
      <c r="N153" s="1"/>
      <c r="O153" s="27">
        <f t="shared" si="4"/>
        <v>0</v>
      </c>
      <c r="P153" s="27"/>
      <c r="Q153" s="27"/>
      <c r="R153" s="20"/>
    </row>
    <row r="154" spans="1:38" ht="15" customHeight="1">
      <c r="A154" s="24">
        <v>76</v>
      </c>
      <c r="B154" s="23" t="s">
        <v>98</v>
      </c>
      <c r="C154" s="24" t="s">
        <v>18</v>
      </c>
      <c r="D154" s="23"/>
      <c r="E154" s="23" t="s">
        <v>19</v>
      </c>
      <c r="F154" s="23" t="s">
        <v>120</v>
      </c>
      <c r="G154" s="23" t="s">
        <v>142</v>
      </c>
      <c r="H154" s="25">
        <v>6</v>
      </c>
      <c r="I154" s="1">
        <v>6</v>
      </c>
      <c r="J154" s="26">
        <v>7</v>
      </c>
      <c r="K154" s="27">
        <f t="shared" si="6"/>
        <v>0</v>
      </c>
      <c r="L154" s="27"/>
      <c r="M154" s="27"/>
      <c r="N154" s="1">
        <v>6</v>
      </c>
      <c r="O154" s="27">
        <f t="shared" si="4"/>
        <v>2112.7600000000002</v>
      </c>
      <c r="P154" s="27">
        <f>887.45+1225.31</f>
        <v>2112.7600000000002</v>
      </c>
      <c r="Q154" s="27"/>
      <c r="R154" s="20"/>
    </row>
    <row r="155" spans="1:38" ht="15" customHeight="1">
      <c r="A155" s="24">
        <v>77</v>
      </c>
      <c r="B155" s="23" t="s">
        <v>99</v>
      </c>
      <c r="C155" s="24" t="s">
        <v>18</v>
      </c>
      <c r="D155" s="23"/>
      <c r="E155" s="23" t="s">
        <v>19</v>
      </c>
      <c r="F155" s="23" t="s">
        <v>120</v>
      </c>
      <c r="G155" s="23" t="s">
        <v>142</v>
      </c>
      <c r="H155" s="25">
        <v>0</v>
      </c>
      <c r="I155" s="1"/>
      <c r="J155" s="26"/>
      <c r="K155" s="27">
        <f t="shared" si="6"/>
        <v>0</v>
      </c>
      <c r="L155" s="27"/>
      <c r="M155" s="27"/>
      <c r="N155" s="1"/>
      <c r="O155" s="27">
        <f t="shared" si="4"/>
        <v>0</v>
      </c>
      <c r="P155" s="27"/>
      <c r="Q155" s="27"/>
      <c r="R155" s="20"/>
    </row>
    <row r="156" spans="1:38" ht="24.6" customHeight="1">
      <c r="A156" s="29">
        <v>78</v>
      </c>
      <c r="B156" s="30" t="s">
        <v>100</v>
      </c>
      <c r="C156" s="29" t="s">
        <v>30</v>
      </c>
      <c r="D156" s="30" t="s">
        <v>101</v>
      </c>
      <c r="E156" s="30" t="s">
        <v>19</v>
      </c>
      <c r="F156" s="23" t="s">
        <v>120</v>
      </c>
      <c r="G156" s="30" t="s">
        <v>142</v>
      </c>
      <c r="H156" s="25">
        <v>1</v>
      </c>
      <c r="I156" s="1"/>
      <c r="J156" s="26"/>
      <c r="K156" s="27">
        <f t="shared" si="6"/>
        <v>0</v>
      </c>
      <c r="L156" s="27"/>
      <c r="M156" s="27"/>
      <c r="N156" s="1"/>
      <c r="O156" s="27">
        <f t="shared" si="4"/>
        <v>0</v>
      </c>
      <c r="P156" s="27"/>
      <c r="Q156" s="27"/>
      <c r="R156" s="20"/>
    </row>
    <row r="157" spans="1:38" s="7" customFormat="1" ht="29.25" customHeight="1">
      <c r="A157" s="29"/>
      <c r="B157" s="30" t="s">
        <v>100</v>
      </c>
      <c r="C157" s="29" t="s">
        <v>30</v>
      </c>
      <c r="D157" s="30" t="s">
        <v>101</v>
      </c>
      <c r="E157" s="30" t="s">
        <v>19</v>
      </c>
      <c r="F157" s="30" t="s">
        <v>292</v>
      </c>
      <c r="G157" s="30" t="s">
        <v>122</v>
      </c>
      <c r="H157" s="25">
        <v>0</v>
      </c>
      <c r="I157" s="1"/>
      <c r="J157" s="26"/>
      <c r="K157" s="27">
        <f t="shared" si="6"/>
        <v>0</v>
      </c>
      <c r="L157" s="27"/>
      <c r="M157" s="27"/>
      <c r="N157" s="1"/>
      <c r="O157" s="27">
        <f t="shared" si="4"/>
        <v>0</v>
      </c>
      <c r="P157" s="27"/>
      <c r="Q157" s="27"/>
      <c r="R157" s="20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</row>
    <row r="158" spans="1:38" ht="26.25" customHeight="1">
      <c r="A158" s="46">
        <v>79</v>
      </c>
      <c r="B158" s="60" t="s">
        <v>144</v>
      </c>
      <c r="C158" s="46" t="s">
        <v>18</v>
      </c>
      <c r="D158" s="60"/>
      <c r="E158" s="60" t="s">
        <v>104</v>
      </c>
      <c r="F158" s="60" t="s">
        <v>120</v>
      </c>
      <c r="G158" s="60" t="s">
        <v>142</v>
      </c>
      <c r="H158" s="61">
        <v>0</v>
      </c>
      <c r="I158" s="1"/>
      <c r="J158" s="26"/>
      <c r="K158" s="27">
        <f t="shared" si="6"/>
        <v>0</v>
      </c>
      <c r="L158" s="63"/>
      <c r="M158" s="63"/>
      <c r="N158" s="1"/>
      <c r="O158" s="63">
        <f t="shared" si="4"/>
        <v>0</v>
      </c>
      <c r="P158" s="63"/>
      <c r="Q158" s="63"/>
      <c r="R158" s="20"/>
    </row>
    <row r="159" spans="1:38" ht="15.75" customHeight="1">
      <c r="A159" s="24">
        <v>80</v>
      </c>
      <c r="B159" s="23" t="s">
        <v>102</v>
      </c>
      <c r="C159" s="24" t="s">
        <v>18</v>
      </c>
      <c r="D159" s="23"/>
      <c r="E159" s="23" t="s">
        <v>19</v>
      </c>
      <c r="F159" s="60" t="s">
        <v>120</v>
      </c>
      <c r="G159" s="23" t="s">
        <v>142</v>
      </c>
      <c r="H159" s="25">
        <v>0</v>
      </c>
      <c r="I159" s="1"/>
      <c r="J159" s="26"/>
      <c r="K159" s="27">
        <f t="shared" si="6"/>
        <v>0</v>
      </c>
      <c r="L159" s="27"/>
      <c r="M159" s="27"/>
      <c r="N159" s="1"/>
      <c r="O159" s="27">
        <f t="shared" si="4"/>
        <v>0</v>
      </c>
      <c r="P159" s="27"/>
      <c r="Q159" s="27"/>
      <c r="R159" s="20"/>
    </row>
    <row r="160" spans="1:38" ht="15" customHeight="1">
      <c r="A160" s="24">
        <v>81</v>
      </c>
      <c r="B160" s="23" t="s">
        <v>103</v>
      </c>
      <c r="C160" s="24" t="s">
        <v>18</v>
      </c>
      <c r="D160" s="23"/>
      <c r="E160" s="23" t="s">
        <v>19</v>
      </c>
      <c r="F160" s="60" t="s">
        <v>120</v>
      </c>
      <c r="G160" s="23" t="s">
        <v>142</v>
      </c>
      <c r="H160" s="25">
        <v>0</v>
      </c>
      <c r="I160" s="1"/>
      <c r="J160" s="26"/>
      <c r="K160" s="27">
        <f t="shared" si="6"/>
        <v>0</v>
      </c>
      <c r="L160" s="27"/>
      <c r="M160" s="27"/>
      <c r="N160" s="1">
        <v>1</v>
      </c>
      <c r="O160" s="27">
        <f t="shared" si="4"/>
        <v>9916.84</v>
      </c>
      <c r="P160" s="27">
        <f>1061.97+8854.87</f>
        <v>9916.84</v>
      </c>
      <c r="Q160" s="27"/>
      <c r="R160" s="20"/>
    </row>
    <row r="161" spans="1:38" ht="15" customHeight="1">
      <c r="A161" s="24"/>
      <c r="B161" s="23" t="s">
        <v>103</v>
      </c>
      <c r="C161" s="24" t="s">
        <v>18</v>
      </c>
      <c r="D161" s="23"/>
      <c r="E161" s="23" t="s">
        <v>19</v>
      </c>
      <c r="F161" s="23" t="s">
        <v>298</v>
      </c>
      <c r="G161" s="23" t="s">
        <v>122</v>
      </c>
      <c r="H161" s="25">
        <v>3</v>
      </c>
      <c r="I161" s="1"/>
      <c r="J161" s="26"/>
      <c r="K161" s="27">
        <f t="shared" si="6"/>
        <v>0</v>
      </c>
      <c r="L161" s="27"/>
      <c r="M161" s="27"/>
      <c r="N161" s="1"/>
      <c r="O161" s="27">
        <f t="shared" si="4"/>
        <v>0</v>
      </c>
      <c r="P161" s="27"/>
      <c r="Q161" s="27"/>
      <c r="R161" s="20"/>
    </row>
    <row r="162" spans="1:38" ht="15" customHeight="1">
      <c r="A162" s="24">
        <v>82</v>
      </c>
      <c r="B162" s="23" t="s">
        <v>302</v>
      </c>
      <c r="C162" s="24" t="s">
        <v>18</v>
      </c>
      <c r="D162" s="23"/>
      <c r="E162" s="23" t="s">
        <v>19</v>
      </c>
      <c r="F162" s="23" t="s">
        <v>348</v>
      </c>
      <c r="G162" s="23" t="s">
        <v>122</v>
      </c>
      <c r="H162" s="25">
        <v>4</v>
      </c>
      <c r="I162" s="1"/>
      <c r="J162" s="26"/>
      <c r="K162" s="27">
        <f t="shared" si="6"/>
        <v>0</v>
      </c>
      <c r="L162" s="27"/>
      <c r="M162" s="27"/>
      <c r="N162" s="1"/>
      <c r="O162" s="27">
        <f t="shared" si="4"/>
        <v>0</v>
      </c>
      <c r="P162" s="27"/>
      <c r="Q162" s="27"/>
      <c r="R162" s="20"/>
    </row>
    <row r="163" spans="1:38" ht="15" customHeight="1">
      <c r="A163" s="24">
        <v>83</v>
      </c>
      <c r="B163" s="23" t="s">
        <v>328</v>
      </c>
      <c r="C163" s="24" t="s">
        <v>18</v>
      </c>
      <c r="D163" s="23"/>
      <c r="E163" s="23" t="s">
        <v>19</v>
      </c>
      <c r="F163" s="23" t="s">
        <v>347</v>
      </c>
      <c r="G163" s="23" t="s">
        <v>122</v>
      </c>
      <c r="H163" s="25">
        <v>4</v>
      </c>
      <c r="I163" s="1"/>
      <c r="J163" s="26"/>
      <c r="K163" s="27">
        <f t="shared" si="6"/>
        <v>0</v>
      </c>
      <c r="L163" s="27"/>
      <c r="M163" s="27"/>
      <c r="N163" s="1"/>
      <c r="O163" s="27">
        <f t="shared" si="4"/>
        <v>0</v>
      </c>
      <c r="P163" s="27"/>
      <c r="Q163" s="27"/>
      <c r="R163" s="20"/>
    </row>
    <row r="164" spans="1:38" ht="15" customHeight="1">
      <c r="A164" s="24">
        <v>84</v>
      </c>
      <c r="B164" s="23" t="s">
        <v>314</v>
      </c>
      <c r="C164" s="24" t="s">
        <v>18</v>
      </c>
      <c r="D164" s="23"/>
      <c r="E164" s="23" t="s">
        <v>19</v>
      </c>
      <c r="F164" s="23" t="s">
        <v>294</v>
      </c>
      <c r="G164" s="23" t="s">
        <v>142</v>
      </c>
      <c r="H164" s="25">
        <v>1</v>
      </c>
      <c r="I164" s="1"/>
      <c r="J164" s="26"/>
      <c r="K164" s="27">
        <f t="shared" si="6"/>
        <v>0</v>
      </c>
      <c r="L164" s="27"/>
      <c r="M164" s="27"/>
      <c r="N164" s="1"/>
      <c r="O164" s="27">
        <f t="shared" si="4"/>
        <v>0</v>
      </c>
      <c r="P164" s="27"/>
      <c r="Q164" s="27"/>
      <c r="R164" s="20"/>
    </row>
    <row r="165" spans="1:38" ht="15" customHeight="1">
      <c r="A165" s="24"/>
      <c r="B165" s="23" t="s">
        <v>314</v>
      </c>
      <c r="C165" s="24" t="s">
        <v>18</v>
      </c>
      <c r="D165" s="23"/>
      <c r="E165" s="23" t="s">
        <v>19</v>
      </c>
      <c r="F165" s="23" t="s">
        <v>268</v>
      </c>
      <c r="G165" s="23" t="s">
        <v>136</v>
      </c>
      <c r="H165" s="25">
        <v>2</v>
      </c>
      <c r="I165" s="1"/>
      <c r="J165" s="26"/>
      <c r="K165" s="27"/>
      <c r="L165" s="27"/>
      <c r="M165" s="27"/>
      <c r="N165" s="1"/>
      <c r="O165" s="27"/>
      <c r="P165" s="27"/>
      <c r="Q165" s="27"/>
      <c r="R165" s="20"/>
    </row>
    <row r="166" spans="1:38" ht="15" customHeight="1">
      <c r="A166" s="24">
        <v>85</v>
      </c>
      <c r="B166" s="23" t="s">
        <v>330</v>
      </c>
      <c r="C166" s="24" t="s">
        <v>18</v>
      </c>
      <c r="D166" s="23"/>
      <c r="E166" s="23" t="s">
        <v>104</v>
      </c>
      <c r="F166" s="23" t="s">
        <v>341</v>
      </c>
      <c r="G166" s="23" t="s">
        <v>131</v>
      </c>
      <c r="H166" s="25">
        <v>5</v>
      </c>
      <c r="I166" s="1"/>
      <c r="J166" s="26"/>
      <c r="K166" s="27"/>
      <c r="L166" s="27"/>
      <c r="M166" s="27"/>
      <c r="N166" s="1"/>
      <c r="O166" s="27"/>
      <c r="P166" s="27"/>
      <c r="Q166" s="27"/>
      <c r="R166" s="20"/>
    </row>
    <row r="167" spans="1:38" s="28" customFormat="1" ht="15" customHeight="1">
      <c r="A167" s="24"/>
      <c r="B167" s="23" t="s">
        <v>330</v>
      </c>
      <c r="C167" s="24" t="s">
        <v>18</v>
      </c>
      <c r="D167" s="23"/>
      <c r="E167" s="23" t="s">
        <v>19</v>
      </c>
      <c r="F167" s="23" t="s">
        <v>346</v>
      </c>
      <c r="G167" s="23" t="s">
        <v>122</v>
      </c>
      <c r="H167" s="25">
        <v>3</v>
      </c>
      <c r="I167" s="1"/>
      <c r="J167" s="26"/>
      <c r="K167" s="27">
        <f t="shared" si="6"/>
        <v>0</v>
      </c>
      <c r="L167" s="27"/>
      <c r="M167" s="27"/>
      <c r="N167" s="1"/>
      <c r="O167" s="27">
        <f t="shared" si="4"/>
        <v>0</v>
      </c>
      <c r="P167" s="27"/>
      <c r="Q167" s="27"/>
      <c r="R167" s="31"/>
    </row>
    <row r="168" spans="1:38" ht="24.75" customHeight="1">
      <c r="A168" s="29">
        <v>86</v>
      </c>
      <c r="B168" s="30" t="s">
        <v>105</v>
      </c>
      <c r="C168" s="29" t="s">
        <v>30</v>
      </c>
      <c r="D168" s="30" t="s">
        <v>106</v>
      </c>
      <c r="E168" s="30" t="s">
        <v>19</v>
      </c>
      <c r="F168" s="30" t="s">
        <v>123</v>
      </c>
      <c r="G168" s="30" t="s">
        <v>142</v>
      </c>
      <c r="H168" s="25">
        <v>8</v>
      </c>
      <c r="I168" s="1"/>
      <c r="J168" s="26"/>
      <c r="K168" s="27">
        <f t="shared" si="6"/>
        <v>0</v>
      </c>
      <c r="L168" s="27"/>
      <c r="M168" s="27"/>
      <c r="N168" s="1"/>
      <c r="O168" s="27">
        <f t="shared" si="4"/>
        <v>7706.45</v>
      </c>
      <c r="P168" s="27">
        <f>4712.69+2993.76</f>
        <v>7706.45</v>
      </c>
      <c r="Q168" s="27"/>
      <c r="R168" s="20"/>
    </row>
    <row r="169" spans="1:38" ht="24.75" customHeight="1">
      <c r="A169" s="29">
        <v>87</v>
      </c>
      <c r="B169" s="30" t="s">
        <v>315</v>
      </c>
      <c r="C169" s="29" t="s">
        <v>18</v>
      </c>
      <c r="D169" s="30"/>
      <c r="E169" s="30" t="s">
        <v>19</v>
      </c>
      <c r="F169" s="30" t="s">
        <v>268</v>
      </c>
      <c r="G169" s="30" t="s">
        <v>142</v>
      </c>
      <c r="H169" s="25">
        <v>2</v>
      </c>
      <c r="I169" s="1"/>
      <c r="J169" s="26"/>
      <c r="K169" s="27">
        <f t="shared" si="6"/>
        <v>0</v>
      </c>
      <c r="L169" s="27"/>
      <c r="M169" s="27"/>
      <c r="N169" s="1"/>
      <c r="O169" s="27">
        <f t="shared" si="4"/>
        <v>0</v>
      </c>
      <c r="P169" s="27"/>
      <c r="Q169" s="27"/>
      <c r="R169" s="20"/>
    </row>
    <row r="170" spans="1:38" s="28" customFormat="1" ht="24.75" customHeight="1">
      <c r="A170" s="29"/>
      <c r="B170" s="30" t="s">
        <v>315</v>
      </c>
      <c r="C170" s="29" t="s">
        <v>18</v>
      </c>
      <c r="D170" s="30"/>
      <c r="E170" s="30" t="s">
        <v>322</v>
      </c>
      <c r="F170" s="30" t="s">
        <v>323</v>
      </c>
      <c r="G170" s="30" t="s">
        <v>124</v>
      </c>
      <c r="H170" s="25">
        <v>0</v>
      </c>
      <c r="I170" s="1"/>
      <c r="J170" s="26"/>
      <c r="K170" s="27">
        <f t="shared" si="6"/>
        <v>0</v>
      </c>
      <c r="L170" s="27"/>
      <c r="M170" s="27"/>
      <c r="N170" s="1"/>
      <c r="O170" s="27">
        <f t="shared" si="4"/>
        <v>0</v>
      </c>
      <c r="P170" s="27"/>
      <c r="Q170" s="27"/>
      <c r="R170" s="31"/>
    </row>
    <row r="171" spans="1:38" s="7" customFormat="1" ht="38.450000000000003" customHeight="1">
      <c r="A171" s="29">
        <v>88</v>
      </c>
      <c r="B171" s="30" t="s">
        <v>265</v>
      </c>
      <c r="C171" s="29" t="s">
        <v>18</v>
      </c>
      <c r="D171" s="30"/>
      <c r="E171" s="30" t="s">
        <v>19</v>
      </c>
      <c r="F171" s="30" t="s">
        <v>123</v>
      </c>
      <c r="G171" s="30" t="s">
        <v>142</v>
      </c>
      <c r="H171" s="25">
        <v>0</v>
      </c>
      <c r="I171" s="1"/>
      <c r="J171" s="26"/>
      <c r="K171" s="27">
        <f t="shared" si="6"/>
        <v>0</v>
      </c>
      <c r="L171" s="27"/>
      <c r="M171" s="27"/>
      <c r="N171" s="1"/>
      <c r="O171" s="27">
        <f t="shared" si="4"/>
        <v>0</v>
      </c>
      <c r="P171" s="27"/>
      <c r="Q171" s="27"/>
      <c r="R171" s="20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</row>
    <row r="172" spans="1:38" s="7" customFormat="1" ht="38.450000000000003" customHeight="1">
      <c r="A172" s="24">
        <v>89</v>
      </c>
      <c r="B172" s="23" t="s">
        <v>107</v>
      </c>
      <c r="C172" s="24" t="s">
        <v>18</v>
      </c>
      <c r="D172" s="23"/>
      <c r="E172" s="23" t="s">
        <v>41</v>
      </c>
      <c r="F172" s="30" t="s">
        <v>123</v>
      </c>
      <c r="G172" s="23" t="s">
        <v>142</v>
      </c>
      <c r="H172" s="25">
        <v>1</v>
      </c>
      <c r="I172" s="1"/>
      <c r="J172" s="26"/>
      <c r="K172" s="27">
        <f t="shared" si="6"/>
        <v>0</v>
      </c>
      <c r="L172" s="27"/>
      <c r="M172" s="27"/>
      <c r="N172" s="1"/>
      <c r="O172" s="27">
        <f t="shared" si="4"/>
        <v>1221.57</v>
      </c>
      <c r="P172" s="27">
        <v>1221.57</v>
      </c>
      <c r="Q172" s="27"/>
      <c r="R172" s="20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ht="15.75" customHeight="1">
      <c r="A173" s="24"/>
      <c r="B173" s="23" t="s">
        <v>107</v>
      </c>
      <c r="C173" s="24" t="s">
        <v>18</v>
      </c>
      <c r="D173" s="23"/>
      <c r="E173" s="23" t="s">
        <v>41</v>
      </c>
      <c r="F173" s="23" t="s">
        <v>295</v>
      </c>
      <c r="G173" s="23" t="s">
        <v>136</v>
      </c>
      <c r="H173" s="25">
        <v>9</v>
      </c>
      <c r="I173" s="2">
        <v>2</v>
      </c>
      <c r="J173" s="26">
        <v>2</v>
      </c>
      <c r="K173" s="27">
        <f t="shared" si="6"/>
        <v>0</v>
      </c>
      <c r="L173" s="27"/>
      <c r="M173" s="27"/>
      <c r="N173" s="2">
        <v>10</v>
      </c>
      <c r="O173" s="27">
        <f t="shared" si="4"/>
        <v>0</v>
      </c>
      <c r="P173" s="27"/>
      <c r="Q173" s="27"/>
      <c r="R173" s="20"/>
    </row>
    <row r="174" spans="1:38" ht="16.5" customHeight="1">
      <c r="A174" s="24">
        <v>90</v>
      </c>
      <c r="B174" s="23" t="s">
        <v>108</v>
      </c>
      <c r="C174" s="24" t="s">
        <v>18</v>
      </c>
      <c r="D174" s="23"/>
      <c r="E174" s="23" t="s">
        <v>19</v>
      </c>
      <c r="F174" s="23" t="s">
        <v>292</v>
      </c>
      <c r="G174" s="23" t="s">
        <v>142</v>
      </c>
      <c r="H174" s="25">
        <v>16</v>
      </c>
      <c r="I174" s="1">
        <v>11</v>
      </c>
      <c r="J174" s="26">
        <v>11</v>
      </c>
      <c r="K174" s="27">
        <f t="shared" si="6"/>
        <v>0</v>
      </c>
      <c r="L174" s="27"/>
      <c r="M174" s="27"/>
      <c r="N174" s="1">
        <v>3</v>
      </c>
      <c r="O174" s="27">
        <f t="shared" si="4"/>
        <v>5327.91</v>
      </c>
      <c r="P174" s="27">
        <v>5327.91</v>
      </c>
      <c r="Q174" s="27"/>
      <c r="R174" s="20"/>
    </row>
    <row r="175" spans="1:38" s="7" customFormat="1" ht="16.5" customHeight="1">
      <c r="A175" s="24"/>
      <c r="B175" s="23" t="s">
        <v>108</v>
      </c>
      <c r="C175" s="24" t="s">
        <v>18</v>
      </c>
      <c r="D175" s="23"/>
      <c r="E175" s="23" t="s">
        <v>19</v>
      </c>
      <c r="F175" s="23" t="s">
        <v>345</v>
      </c>
      <c r="G175" s="23" t="s">
        <v>122</v>
      </c>
      <c r="H175" s="25">
        <v>3</v>
      </c>
      <c r="I175" s="1"/>
      <c r="J175" s="26"/>
      <c r="K175" s="27">
        <f t="shared" si="6"/>
        <v>0</v>
      </c>
      <c r="L175" s="27"/>
      <c r="M175" s="27"/>
      <c r="N175" s="1">
        <v>3</v>
      </c>
      <c r="O175" s="27">
        <f t="shared" si="4"/>
        <v>0</v>
      </c>
      <c r="P175" s="27"/>
      <c r="Q175" s="27"/>
      <c r="R175" s="20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</row>
    <row r="176" spans="1:38" s="7" customFormat="1" ht="16.5" customHeight="1">
      <c r="A176" s="24">
        <v>91</v>
      </c>
      <c r="B176" s="23" t="s">
        <v>146</v>
      </c>
      <c r="C176" s="24" t="s">
        <v>18</v>
      </c>
      <c r="D176" s="23"/>
      <c r="E176" s="23" t="s">
        <v>104</v>
      </c>
      <c r="F176" s="23" t="s">
        <v>291</v>
      </c>
      <c r="G176" s="23" t="s">
        <v>142</v>
      </c>
      <c r="H176" s="25">
        <v>0</v>
      </c>
      <c r="I176" s="1"/>
      <c r="J176" s="26"/>
      <c r="K176" s="27">
        <f t="shared" si="6"/>
        <v>0</v>
      </c>
      <c r="L176" s="27"/>
      <c r="M176" s="27"/>
      <c r="N176" s="1">
        <v>1</v>
      </c>
      <c r="O176" s="27">
        <f t="shared" si="4"/>
        <v>2891.29</v>
      </c>
      <c r="P176" s="27">
        <v>2891.29</v>
      </c>
      <c r="Q176" s="27"/>
      <c r="R176" s="20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ht="23.45" customHeight="1">
      <c r="A177" s="29">
        <v>92</v>
      </c>
      <c r="B177" s="30" t="s">
        <v>109</v>
      </c>
      <c r="C177" s="29" t="s">
        <v>52</v>
      </c>
      <c r="D177" s="30" t="s">
        <v>110</v>
      </c>
      <c r="E177" s="30" t="s">
        <v>19</v>
      </c>
      <c r="F177" s="30" t="s">
        <v>123</v>
      </c>
      <c r="G177" s="30" t="s">
        <v>142</v>
      </c>
      <c r="H177" s="25">
        <v>21</v>
      </c>
      <c r="I177" s="1">
        <v>12</v>
      </c>
      <c r="J177" s="26">
        <v>12</v>
      </c>
      <c r="K177" s="27">
        <f t="shared" si="6"/>
        <v>0</v>
      </c>
      <c r="L177" s="27"/>
      <c r="M177" s="27"/>
      <c r="N177" s="1">
        <v>11</v>
      </c>
      <c r="O177" s="27">
        <f t="shared" si="4"/>
        <v>9265</v>
      </c>
      <c r="P177" s="27">
        <f>8759.8+505.2</f>
        <v>9265</v>
      </c>
      <c r="Q177" s="27"/>
      <c r="R177" s="20"/>
    </row>
    <row r="178" spans="1:38" s="7" customFormat="1" ht="27" customHeight="1">
      <c r="A178" s="29"/>
      <c r="B178" s="30" t="s">
        <v>109</v>
      </c>
      <c r="C178" s="29" t="s">
        <v>52</v>
      </c>
      <c r="D178" s="30" t="s">
        <v>110</v>
      </c>
      <c r="E178" s="30" t="s">
        <v>19</v>
      </c>
      <c r="F178" s="30" t="s">
        <v>344</v>
      </c>
      <c r="G178" s="30" t="s">
        <v>122</v>
      </c>
      <c r="H178" s="25">
        <v>12</v>
      </c>
      <c r="I178" s="1"/>
      <c r="J178" s="26"/>
      <c r="K178" s="27">
        <f t="shared" si="6"/>
        <v>0</v>
      </c>
      <c r="L178" s="27"/>
      <c r="M178" s="27"/>
      <c r="N178" s="1">
        <v>11</v>
      </c>
      <c r="O178" s="27">
        <f t="shared" si="4"/>
        <v>1762</v>
      </c>
      <c r="P178" s="27">
        <v>1762</v>
      </c>
      <c r="Q178" s="27"/>
      <c r="R178" s="20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ht="27.75" customHeight="1">
      <c r="A179" s="24">
        <v>93</v>
      </c>
      <c r="B179" s="23" t="s">
        <v>111</v>
      </c>
      <c r="C179" s="24" t="s">
        <v>18</v>
      </c>
      <c r="D179" s="23"/>
      <c r="E179" s="23" t="s">
        <v>112</v>
      </c>
      <c r="F179" s="23" t="s">
        <v>268</v>
      </c>
      <c r="G179" s="23" t="s">
        <v>142</v>
      </c>
      <c r="H179" s="25">
        <v>4</v>
      </c>
      <c r="I179" s="1"/>
      <c r="J179" s="26"/>
      <c r="K179" s="27">
        <f t="shared" si="6"/>
        <v>0</v>
      </c>
      <c r="L179" s="27"/>
      <c r="M179" s="27"/>
      <c r="N179" s="1"/>
      <c r="O179" s="27">
        <f t="shared" si="4"/>
        <v>8928</v>
      </c>
      <c r="P179" s="27">
        <v>8928</v>
      </c>
      <c r="Q179" s="27"/>
      <c r="R179" s="20"/>
    </row>
    <row r="180" spans="1:38" ht="16.5" customHeight="1">
      <c r="A180" s="24"/>
      <c r="B180" s="23" t="s">
        <v>111</v>
      </c>
      <c r="C180" s="24" t="s">
        <v>18</v>
      </c>
      <c r="D180" s="23"/>
      <c r="E180" s="23" t="s">
        <v>112</v>
      </c>
      <c r="F180" s="23" t="s">
        <v>123</v>
      </c>
      <c r="G180" s="23" t="s">
        <v>136</v>
      </c>
      <c r="H180" s="25">
        <v>5</v>
      </c>
      <c r="I180" s="2"/>
      <c r="J180" s="26"/>
      <c r="K180" s="27">
        <f t="shared" si="6"/>
        <v>0</v>
      </c>
      <c r="L180" s="27"/>
      <c r="M180" s="27"/>
      <c r="N180" s="2">
        <v>2</v>
      </c>
      <c r="O180" s="27">
        <f t="shared" si="4"/>
        <v>0</v>
      </c>
      <c r="P180" s="27"/>
      <c r="Q180" s="27"/>
      <c r="R180" s="20"/>
    </row>
    <row r="181" spans="1:38" ht="16.5" customHeight="1">
      <c r="A181" s="24">
        <v>94</v>
      </c>
      <c r="B181" s="23" t="s">
        <v>113</v>
      </c>
      <c r="C181" s="24" t="s">
        <v>18</v>
      </c>
      <c r="D181" s="23"/>
      <c r="E181" s="23" t="s">
        <v>19</v>
      </c>
      <c r="F181" s="23" t="s">
        <v>120</v>
      </c>
      <c r="G181" s="23" t="s">
        <v>142</v>
      </c>
      <c r="H181" s="25">
        <v>0</v>
      </c>
      <c r="I181" s="1"/>
      <c r="J181" s="26"/>
      <c r="K181" s="27">
        <f t="shared" si="6"/>
        <v>0</v>
      </c>
      <c r="L181" s="27"/>
      <c r="M181" s="27"/>
      <c r="N181" s="1">
        <v>1</v>
      </c>
      <c r="O181" s="27">
        <f t="shared" si="4"/>
        <v>0</v>
      </c>
      <c r="P181" s="27"/>
      <c r="Q181" s="27"/>
      <c r="R181" s="20"/>
    </row>
    <row r="182" spans="1:38" ht="18.75" customHeight="1">
      <c r="A182" s="24"/>
      <c r="B182" s="23" t="s">
        <v>113</v>
      </c>
      <c r="C182" s="24" t="s">
        <v>18</v>
      </c>
      <c r="D182" s="23"/>
      <c r="E182" s="23" t="s">
        <v>19</v>
      </c>
      <c r="F182" s="23" t="s">
        <v>292</v>
      </c>
      <c r="G182" s="23" t="s">
        <v>122</v>
      </c>
      <c r="H182" s="25">
        <v>10</v>
      </c>
      <c r="I182" s="1"/>
      <c r="J182" s="26"/>
      <c r="K182" s="27">
        <f t="shared" si="6"/>
        <v>0</v>
      </c>
      <c r="L182" s="27"/>
      <c r="M182" s="27"/>
      <c r="N182" s="1">
        <v>8</v>
      </c>
      <c r="O182" s="27">
        <f t="shared" si="4"/>
        <v>0</v>
      </c>
      <c r="P182" s="27"/>
      <c r="Q182" s="27"/>
      <c r="R182" s="20"/>
    </row>
    <row r="183" spans="1:38" ht="20.25" customHeight="1">
      <c r="A183" s="24">
        <v>95</v>
      </c>
      <c r="B183" s="23" t="s">
        <v>114</v>
      </c>
      <c r="C183" s="24" t="s">
        <v>18</v>
      </c>
      <c r="D183" s="23"/>
      <c r="E183" s="23" t="s">
        <v>41</v>
      </c>
      <c r="F183" s="23" t="s">
        <v>268</v>
      </c>
      <c r="G183" s="23" t="s">
        <v>142</v>
      </c>
      <c r="H183" s="25">
        <v>2</v>
      </c>
      <c r="I183" s="1"/>
      <c r="J183" s="26"/>
      <c r="K183" s="27">
        <f t="shared" si="6"/>
        <v>0</v>
      </c>
      <c r="L183" s="27"/>
      <c r="M183" s="27"/>
      <c r="N183" s="1"/>
      <c r="O183" s="27">
        <f t="shared" si="4"/>
        <v>7826.67</v>
      </c>
      <c r="P183" s="27">
        <v>7826.67</v>
      </c>
      <c r="Q183" s="27"/>
      <c r="R183" s="20"/>
    </row>
    <row r="184" spans="1:38" ht="16.899999999999999" customHeight="1">
      <c r="A184" s="24"/>
      <c r="B184" s="23" t="s">
        <v>141</v>
      </c>
      <c r="C184" s="24" t="s">
        <v>18</v>
      </c>
      <c r="D184" s="23"/>
      <c r="E184" s="23" t="s">
        <v>41</v>
      </c>
      <c r="F184" s="23" t="s">
        <v>368</v>
      </c>
      <c r="G184" s="23" t="s">
        <v>136</v>
      </c>
      <c r="H184" s="25">
        <v>4</v>
      </c>
      <c r="I184" s="2"/>
      <c r="J184" s="26"/>
      <c r="K184" s="27">
        <f t="shared" si="6"/>
        <v>0</v>
      </c>
      <c r="L184" s="27"/>
      <c r="M184" s="27"/>
      <c r="N184" s="2">
        <v>1</v>
      </c>
      <c r="O184" s="27">
        <f t="shared" si="4"/>
        <v>0</v>
      </c>
      <c r="P184" s="27"/>
      <c r="Q184" s="27"/>
      <c r="R184" s="20"/>
    </row>
    <row r="185" spans="1:38" ht="16.899999999999999" customHeight="1">
      <c r="A185" s="24">
        <v>96</v>
      </c>
      <c r="B185" s="23" t="s">
        <v>309</v>
      </c>
      <c r="C185" s="24" t="s">
        <v>18</v>
      </c>
      <c r="D185" s="23"/>
      <c r="E185" s="23" t="s">
        <v>19</v>
      </c>
      <c r="F185" s="23" t="s">
        <v>380</v>
      </c>
      <c r="G185" s="23" t="s">
        <v>142</v>
      </c>
      <c r="H185" s="25">
        <v>3</v>
      </c>
      <c r="I185" s="2"/>
      <c r="J185" s="26"/>
      <c r="K185" s="27"/>
      <c r="L185" s="27"/>
      <c r="M185" s="27"/>
      <c r="N185" s="2"/>
      <c r="O185" s="27"/>
      <c r="P185" s="27"/>
      <c r="Q185" s="27"/>
      <c r="R185" s="20"/>
    </row>
    <row r="186" spans="1:38" ht="16.899999999999999" customHeight="1">
      <c r="A186" s="24"/>
      <c r="B186" s="23" t="s">
        <v>309</v>
      </c>
      <c r="C186" s="24" t="s">
        <v>18</v>
      </c>
      <c r="D186" s="23"/>
      <c r="E186" s="23" t="s">
        <v>19</v>
      </c>
      <c r="F186" s="23" t="s">
        <v>343</v>
      </c>
      <c r="G186" s="23" t="s">
        <v>122</v>
      </c>
      <c r="H186" s="25">
        <v>4</v>
      </c>
      <c r="I186" s="2"/>
      <c r="J186" s="26"/>
      <c r="K186" s="27">
        <f t="shared" si="6"/>
        <v>0</v>
      </c>
      <c r="L186" s="27"/>
      <c r="M186" s="27"/>
      <c r="N186" s="2"/>
      <c r="O186" s="27">
        <f t="shared" si="4"/>
        <v>0</v>
      </c>
      <c r="P186" s="27"/>
      <c r="Q186" s="27"/>
      <c r="R186" s="20"/>
    </row>
    <row r="187" spans="1:38" ht="16.899999999999999" customHeight="1">
      <c r="A187" s="24"/>
      <c r="B187" s="23" t="s">
        <v>309</v>
      </c>
      <c r="C187" s="24" t="s">
        <v>18</v>
      </c>
      <c r="D187" s="23"/>
      <c r="E187" s="23" t="s">
        <v>19</v>
      </c>
      <c r="F187" s="23" t="s">
        <v>324</v>
      </c>
      <c r="G187" s="23" t="s">
        <v>124</v>
      </c>
      <c r="H187" s="25">
        <v>0</v>
      </c>
      <c r="I187" s="2"/>
      <c r="J187" s="26"/>
      <c r="K187" s="27">
        <f t="shared" si="6"/>
        <v>0</v>
      </c>
      <c r="L187" s="27"/>
      <c r="M187" s="27"/>
      <c r="N187" s="2"/>
      <c r="O187" s="27">
        <f t="shared" si="4"/>
        <v>0</v>
      </c>
      <c r="P187" s="27"/>
      <c r="Q187" s="27"/>
      <c r="R187" s="20"/>
    </row>
    <row r="188" spans="1:38" ht="24.6" customHeight="1">
      <c r="A188" s="29">
        <v>97</v>
      </c>
      <c r="B188" s="30" t="s">
        <v>115</v>
      </c>
      <c r="C188" s="29" t="s">
        <v>52</v>
      </c>
      <c r="D188" s="30" t="s">
        <v>110</v>
      </c>
      <c r="E188" s="30" t="s">
        <v>19</v>
      </c>
      <c r="F188" s="30"/>
      <c r="G188" s="30" t="s">
        <v>142</v>
      </c>
      <c r="H188" s="25">
        <v>0</v>
      </c>
      <c r="I188" s="1"/>
      <c r="J188" s="26"/>
      <c r="K188" s="27">
        <f t="shared" si="6"/>
        <v>0</v>
      </c>
      <c r="L188" s="27"/>
      <c r="M188" s="27"/>
      <c r="N188" s="1">
        <v>1</v>
      </c>
      <c r="O188" s="27">
        <f t="shared" ref="O188:O192" si="7">P188+Q188</f>
        <v>0</v>
      </c>
      <c r="P188" s="27"/>
      <c r="Q188" s="27"/>
      <c r="R188" s="20"/>
    </row>
    <row r="189" spans="1:38" ht="32.25" customHeight="1">
      <c r="A189" s="29"/>
      <c r="B189" s="30" t="s">
        <v>115</v>
      </c>
      <c r="C189" s="29" t="s">
        <v>52</v>
      </c>
      <c r="D189" s="30" t="s">
        <v>110</v>
      </c>
      <c r="E189" s="30" t="s">
        <v>19</v>
      </c>
      <c r="F189" s="30" t="s">
        <v>292</v>
      </c>
      <c r="G189" s="30" t="s">
        <v>122</v>
      </c>
      <c r="H189" s="25">
        <v>0</v>
      </c>
      <c r="I189" s="1"/>
      <c r="J189" s="44"/>
      <c r="K189" s="27">
        <f t="shared" si="6"/>
        <v>0</v>
      </c>
      <c r="L189" s="27"/>
      <c r="M189" s="27"/>
      <c r="N189" s="1">
        <v>1</v>
      </c>
      <c r="O189" s="27">
        <f t="shared" si="7"/>
        <v>0</v>
      </c>
      <c r="P189" s="27"/>
      <c r="Q189" s="27"/>
      <c r="R189" s="20"/>
    </row>
    <row r="190" spans="1:38" ht="34.9" customHeight="1">
      <c r="A190" s="29">
        <v>98</v>
      </c>
      <c r="B190" s="30" t="s">
        <v>116</v>
      </c>
      <c r="C190" s="29" t="s">
        <v>52</v>
      </c>
      <c r="D190" s="30" t="s">
        <v>117</v>
      </c>
      <c r="E190" s="30" t="s">
        <v>19</v>
      </c>
      <c r="F190" s="30" t="s">
        <v>120</v>
      </c>
      <c r="G190" s="30" t="s">
        <v>142</v>
      </c>
      <c r="H190" s="25">
        <v>13</v>
      </c>
      <c r="I190" s="1">
        <v>7</v>
      </c>
      <c r="J190" s="44">
        <v>7</v>
      </c>
      <c r="K190" s="27">
        <f t="shared" si="6"/>
        <v>0</v>
      </c>
      <c r="L190" s="27"/>
      <c r="M190" s="27"/>
      <c r="N190" s="1">
        <v>3</v>
      </c>
      <c r="O190" s="27">
        <f t="shared" si="7"/>
        <v>0</v>
      </c>
      <c r="P190" s="27"/>
      <c r="Q190" s="27"/>
      <c r="R190" s="20"/>
    </row>
    <row r="191" spans="1:38" ht="28.5" customHeight="1">
      <c r="A191" s="29">
        <v>99</v>
      </c>
      <c r="B191" s="30" t="s">
        <v>209</v>
      </c>
      <c r="C191" s="29" t="s">
        <v>18</v>
      </c>
      <c r="D191" s="30"/>
      <c r="E191" s="30" t="s">
        <v>19</v>
      </c>
      <c r="F191" s="30" t="s">
        <v>123</v>
      </c>
      <c r="G191" s="30" t="s">
        <v>142</v>
      </c>
      <c r="H191" s="25">
        <v>0</v>
      </c>
      <c r="I191" s="1"/>
      <c r="J191" s="44"/>
      <c r="K191" s="27">
        <f t="shared" si="6"/>
        <v>0</v>
      </c>
      <c r="L191" s="27"/>
      <c r="M191" s="27"/>
      <c r="N191" s="1"/>
      <c r="O191" s="27">
        <f t="shared" si="7"/>
        <v>0</v>
      </c>
      <c r="P191" s="27"/>
      <c r="Q191" s="27"/>
      <c r="R191" s="20"/>
    </row>
    <row r="192" spans="1:38" ht="19.5" customHeight="1">
      <c r="A192" s="29">
        <v>100</v>
      </c>
      <c r="B192" s="30" t="s">
        <v>118</v>
      </c>
      <c r="C192" s="29" t="s">
        <v>18</v>
      </c>
      <c r="D192" s="30"/>
      <c r="E192" s="30" t="s">
        <v>41</v>
      </c>
      <c r="F192" s="30" t="s">
        <v>292</v>
      </c>
      <c r="G192" s="30" t="s">
        <v>142</v>
      </c>
      <c r="H192" s="25">
        <v>7</v>
      </c>
      <c r="I192" s="1">
        <v>4</v>
      </c>
      <c r="J192" s="44">
        <v>4</v>
      </c>
      <c r="K192" s="27">
        <f t="shared" si="6"/>
        <v>0</v>
      </c>
      <c r="L192" s="27"/>
      <c r="M192" s="27"/>
      <c r="N192" s="1">
        <v>19</v>
      </c>
      <c r="O192" s="27">
        <f t="shared" si="7"/>
        <v>0</v>
      </c>
      <c r="P192" s="27"/>
      <c r="Q192" s="27"/>
      <c r="R192" s="20"/>
    </row>
    <row r="193" spans="1:44" s="7" customFormat="1" ht="30.6" customHeight="1">
      <c r="A193" s="24"/>
      <c r="B193" s="23" t="s">
        <v>118</v>
      </c>
      <c r="C193" s="24" t="s">
        <v>18</v>
      </c>
      <c r="D193" s="23"/>
      <c r="E193" s="23" t="s">
        <v>41</v>
      </c>
      <c r="F193" s="23" t="s">
        <v>298</v>
      </c>
      <c r="G193" s="23" t="s">
        <v>124</v>
      </c>
      <c r="H193" s="25">
        <v>0</v>
      </c>
      <c r="I193" s="1"/>
      <c r="J193" s="44"/>
      <c r="K193" s="27">
        <f t="shared" si="6"/>
        <v>0</v>
      </c>
      <c r="L193" s="27"/>
      <c r="M193" s="27"/>
      <c r="N193" s="1"/>
      <c r="O193" s="27">
        <f>P193+Q193</f>
        <v>0</v>
      </c>
      <c r="P193" s="27"/>
      <c r="Q193" s="27"/>
      <c r="R193" s="20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</row>
    <row r="194" spans="1:44" s="14" customFormat="1" ht="27" customHeight="1">
      <c r="A194" s="24"/>
      <c r="B194" s="23" t="s">
        <v>118</v>
      </c>
      <c r="C194" s="24" t="s">
        <v>18</v>
      </c>
      <c r="D194" s="23"/>
      <c r="E194" s="23" t="s">
        <v>41</v>
      </c>
      <c r="F194" s="23" t="s">
        <v>123</v>
      </c>
      <c r="G194" s="23" t="s">
        <v>136</v>
      </c>
      <c r="H194" s="25">
        <v>0</v>
      </c>
      <c r="I194" s="2"/>
      <c r="J194" s="26"/>
      <c r="K194" s="27">
        <f t="shared" si="6"/>
        <v>0</v>
      </c>
      <c r="L194" s="27"/>
      <c r="M194" s="27"/>
      <c r="N194" s="2"/>
      <c r="O194" s="27">
        <f>P194+Q194</f>
        <v>0</v>
      </c>
      <c r="P194" s="27"/>
      <c r="Q194" s="27"/>
      <c r="R194" s="20"/>
      <c r="AM194" s="4"/>
      <c r="AN194" s="4"/>
      <c r="AO194" s="4"/>
      <c r="AP194" s="4"/>
      <c r="AQ194" s="4"/>
      <c r="AR194" s="4"/>
    </row>
    <row r="195" spans="1:44" s="14" customFormat="1" ht="27" customHeight="1">
      <c r="A195" s="46"/>
      <c r="B195" s="60" t="s">
        <v>119</v>
      </c>
      <c r="C195" s="46" t="s">
        <v>18</v>
      </c>
      <c r="D195" s="60"/>
      <c r="E195" s="60" t="s">
        <v>19</v>
      </c>
      <c r="F195" s="60" t="s">
        <v>120</v>
      </c>
      <c r="G195" s="60" t="s">
        <v>122</v>
      </c>
      <c r="H195" s="61">
        <v>0</v>
      </c>
      <c r="I195" s="32"/>
      <c r="J195" s="62"/>
      <c r="K195" s="27">
        <f t="shared" si="6"/>
        <v>0</v>
      </c>
      <c r="L195" s="63"/>
      <c r="M195" s="63"/>
      <c r="N195" s="32"/>
      <c r="O195" s="63">
        <v>0</v>
      </c>
      <c r="P195" s="63"/>
      <c r="Q195" s="63"/>
      <c r="R195" s="20"/>
      <c r="AM195" s="4"/>
      <c r="AN195" s="4"/>
      <c r="AO195" s="4"/>
      <c r="AP195" s="4"/>
      <c r="AQ195" s="4"/>
      <c r="AR195" s="4"/>
    </row>
    <row r="196" spans="1:44" s="14" customFormat="1" ht="27" customHeight="1">
      <c r="A196" s="46">
        <v>101</v>
      </c>
      <c r="B196" s="60" t="s">
        <v>325</v>
      </c>
      <c r="C196" s="46" t="s">
        <v>18</v>
      </c>
      <c r="D196" s="60"/>
      <c r="E196" s="60" t="s">
        <v>36</v>
      </c>
      <c r="F196" s="60" t="s">
        <v>285</v>
      </c>
      <c r="G196" s="60" t="s">
        <v>142</v>
      </c>
      <c r="H196" s="61">
        <v>3</v>
      </c>
      <c r="I196" s="32"/>
      <c r="J196" s="62"/>
      <c r="K196" s="27"/>
      <c r="L196" s="63"/>
      <c r="M196" s="63"/>
      <c r="N196" s="32"/>
      <c r="O196" s="63"/>
      <c r="P196" s="63"/>
      <c r="Q196" s="63"/>
      <c r="R196" s="20"/>
      <c r="AM196" s="4"/>
      <c r="AN196" s="4"/>
      <c r="AO196" s="4"/>
      <c r="AP196" s="4"/>
      <c r="AQ196" s="4"/>
      <c r="AR196" s="4"/>
    </row>
    <row r="197" spans="1:44" s="14" customFormat="1" ht="27" customHeight="1">
      <c r="A197" s="46"/>
      <c r="B197" s="23" t="s">
        <v>325</v>
      </c>
      <c r="C197" s="24" t="s">
        <v>18</v>
      </c>
      <c r="D197" s="23"/>
      <c r="E197" s="23" t="s">
        <v>36</v>
      </c>
      <c r="F197" s="23" t="s">
        <v>369</v>
      </c>
      <c r="G197" s="23" t="s">
        <v>124</v>
      </c>
      <c r="H197" s="25">
        <v>0</v>
      </c>
      <c r="I197" s="2"/>
      <c r="J197" s="26"/>
      <c r="K197" s="27">
        <f t="shared" si="6"/>
        <v>0</v>
      </c>
      <c r="L197" s="27"/>
      <c r="M197" s="27"/>
      <c r="N197" s="2"/>
      <c r="O197" s="27">
        <v>0</v>
      </c>
      <c r="P197" s="27"/>
      <c r="Q197" s="27"/>
      <c r="R197" s="20"/>
      <c r="AM197" s="4"/>
      <c r="AN197" s="4"/>
      <c r="AO197" s="4"/>
      <c r="AP197" s="4"/>
      <c r="AQ197" s="4"/>
      <c r="AR197" s="4"/>
    </row>
    <row r="198" spans="1:44" s="14" customFormat="1" ht="18.75" customHeight="1" thickBot="1">
      <c r="A198" s="47"/>
      <c r="B198" s="48" t="s">
        <v>325</v>
      </c>
      <c r="C198" s="49" t="s">
        <v>18</v>
      </c>
      <c r="D198" s="48"/>
      <c r="E198" s="48" t="s">
        <v>370</v>
      </c>
      <c r="F198" s="48" t="s">
        <v>371</v>
      </c>
      <c r="G198" s="48" t="s">
        <v>136</v>
      </c>
      <c r="H198" s="50">
        <v>0</v>
      </c>
      <c r="I198" s="33"/>
      <c r="J198" s="51"/>
      <c r="K198" s="34">
        <f t="shared" si="6"/>
        <v>0</v>
      </c>
      <c r="L198" s="52"/>
      <c r="M198" s="52"/>
      <c r="N198" s="33"/>
      <c r="O198" s="52">
        <f>P198+Q198</f>
        <v>0</v>
      </c>
      <c r="P198" s="52"/>
      <c r="Q198" s="52"/>
      <c r="R198" s="20"/>
      <c r="AM198" s="4"/>
      <c r="AN198" s="4"/>
      <c r="AO198" s="4"/>
      <c r="AP198" s="4"/>
      <c r="AQ198" s="4"/>
      <c r="AR198" s="4"/>
    </row>
    <row r="199" spans="1:44" s="14" customFormat="1" ht="16.5" customHeight="1">
      <c r="A199" s="87" t="s">
        <v>145</v>
      </c>
      <c r="B199" s="87"/>
      <c r="C199" s="88"/>
      <c r="D199" s="89"/>
      <c r="E199" s="89"/>
      <c r="F199" s="89"/>
      <c r="G199" s="89"/>
      <c r="H199" s="88">
        <f>SUM(H10:H198)</f>
        <v>735</v>
      </c>
      <c r="I199" s="88">
        <f>SUM(I10:I198)</f>
        <v>155</v>
      </c>
      <c r="J199" s="88">
        <f>SUM(J10:J198)</f>
        <v>158</v>
      </c>
      <c r="K199" s="90">
        <f>SUM(K10:K198)</f>
        <v>0</v>
      </c>
      <c r="L199" s="90">
        <f t="shared" ref="L199:Q199" si="8">SUM(L10:L198)</f>
        <v>0</v>
      </c>
      <c r="M199" s="88">
        <f t="shared" si="8"/>
        <v>0</v>
      </c>
      <c r="N199" s="88">
        <f t="shared" si="8"/>
        <v>460</v>
      </c>
      <c r="O199" s="90">
        <f>SUM(O10:O198)</f>
        <v>187211.83000000002</v>
      </c>
      <c r="P199" s="90">
        <f>SUM(P10:P198)</f>
        <v>187211.83000000002</v>
      </c>
      <c r="Q199" s="88">
        <f t="shared" si="8"/>
        <v>0</v>
      </c>
      <c r="R199" s="20"/>
      <c r="AM199" s="4"/>
      <c r="AN199" s="4"/>
      <c r="AO199" s="4"/>
      <c r="AP199" s="4"/>
      <c r="AQ199" s="4"/>
      <c r="AR199" s="4"/>
    </row>
    <row r="200" spans="1:44" s="14" customFormat="1" ht="15" customHeight="1">
      <c r="A200" s="5"/>
      <c r="B200" s="6"/>
      <c r="C200" s="5"/>
      <c r="D200" s="6"/>
      <c r="E200" s="6"/>
      <c r="F200" s="6"/>
      <c r="G200" s="6"/>
      <c r="H200" s="9"/>
      <c r="I200" s="9"/>
      <c r="J200" s="9"/>
      <c r="K200" s="9"/>
      <c r="L200" s="9"/>
      <c r="M200" s="11"/>
      <c r="N200" s="9"/>
      <c r="O200" s="9"/>
      <c r="P200" s="5"/>
      <c r="Q200" s="13"/>
      <c r="R200" s="20"/>
      <c r="AM200" s="4"/>
      <c r="AN200" s="4"/>
      <c r="AO200" s="4"/>
      <c r="AP200" s="4"/>
      <c r="AQ200" s="4"/>
      <c r="AR200" s="4"/>
    </row>
    <row r="201" spans="1:44" s="14" customForma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12"/>
      <c r="N201" s="4"/>
      <c r="O201" s="4"/>
      <c r="P201" s="4"/>
      <c r="Q201" s="12"/>
      <c r="R201" s="20"/>
      <c r="AM201" s="4"/>
      <c r="AN201" s="4"/>
      <c r="AO201" s="4"/>
      <c r="AP201" s="4"/>
      <c r="AQ201" s="4"/>
      <c r="AR201" s="4"/>
    </row>
    <row r="202" spans="1:44" s="14" customForma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15"/>
      <c r="L202" s="15"/>
      <c r="M202" s="19"/>
      <c r="N202" s="4"/>
      <c r="O202" s="4"/>
      <c r="P202" s="4"/>
      <c r="Q202" s="12"/>
      <c r="AM202" s="4"/>
      <c r="AN202" s="4"/>
      <c r="AO202" s="4"/>
      <c r="AP202" s="4"/>
      <c r="AQ202" s="4"/>
      <c r="AR202" s="4"/>
    </row>
    <row r="203" spans="1:44" s="14" customForma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15"/>
      <c r="M203" s="12"/>
      <c r="N203" s="15"/>
      <c r="O203" s="15"/>
      <c r="P203" s="4"/>
      <c r="Q203" s="12"/>
      <c r="AM203" s="4"/>
      <c r="AN203" s="4"/>
      <c r="AO203" s="4"/>
      <c r="AP203" s="4"/>
      <c r="AQ203" s="4"/>
      <c r="AR203" s="4"/>
    </row>
    <row r="204" spans="1:44" s="14" customForma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15"/>
      <c r="M204" s="12"/>
      <c r="N204" s="15"/>
      <c r="O204" s="4"/>
      <c r="P204" s="4"/>
      <c r="Q204" s="12"/>
      <c r="AM204" s="4"/>
      <c r="AN204" s="4"/>
      <c r="AO204" s="4"/>
      <c r="AP204" s="4"/>
      <c r="AQ204" s="4"/>
      <c r="AR204" s="4"/>
    </row>
    <row r="205" spans="1:44" s="14" customForma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15"/>
      <c r="M205" s="12"/>
      <c r="N205" s="4"/>
      <c r="O205" s="4"/>
      <c r="P205" s="4"/>
      <c r="Q205" s="12"/>
      <c r="AM205" s="4"/>
      <c r="AN205" s="4"/>
      <c r="AO205" s="4"/>
      <c r="AP205" s="4"/>
      <c r="AQ205" s="4"/>
      <c r="AR205" s="4"/>
    </row>
    <row r="206" spans="1:44" s="14" customForma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15"/>
      <c r="M206" s="12"/>
      <c r="N206" s="4"/>
      <c r="O206" s="4"/>
      <c r="P206" s="4"/>
      <c r="Q206" s="12"/>
      <c r="AM206" s="4"/>
      <c r="AN206" s="4"/>
      <c r="AO206" s="4"/>
      <c r="AP206" s="4"/>
      <c r="AQ206" s="4"/>
      <c r="AR206" s="4"/>
    </row>
    <row r="207" spans="1:44" s="14" customForma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15"/>
      <c r="M207" s="12"/>
      <c r="N207" s="4"/>
      <c r="O207" s="4"/>
      <c r="P207" s="4"/>
      <c r="Q207" s="12"/>
      <c r="AM207" s="4"/>
      <c r="AN207" s="4"/>
      <c r="AO207" s="4"/>
      <c r="AP207" s="4"/>
      <c r="AQ207" s="4"/>
      <c r="AR207" s="4"/>
    </row>
    <row r="214" spans="1:44" s="12" customForma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15"/>
      <c r="N214" s="4"/>
      <c r="O214" s="4"/>
      <c r="P214" s="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4"/>
      <c r="AN214" s="4"/>
      <c r="AO214" s="4"/>
      <c r="AP214" s="4"/>
      <c r="AQ214" s="4"/>
      <c r="AR214" s="4"/>
    </row>
  </sheetData>
  <mergeCells count="8">
    <mergeCell ref="A199:B199"/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53</vt:i4>
      </vt:variant>
    </vt:vector>
  </HeadingPairs>
  <TitlesOfParts>
    <vt:vector size="53" baseType="lpstr">
      <vt:lpstr>09.01.2018 </vt:lpstr>
      <vt:lpstr>15.01.2018</vt:lpstr>
      <vt:lpstr>22.01.2018</vt:lpstr>
      <vt:lpstr>29.01.2018</vt:lpstr>
      <vt:lpstr>05.02.2018</vt:lpstr>
      <vt:lpstr>12.02.2018</vt:lpstr>
      <vt:lpstr>19.02.2018</vt:lpstr>
      <vt:lpstr>26.02.2018</vt:lpstr>
      <vt:lpstr>05.03.2018</vt:lpstr>
      <vt:lpstr>12.03.2018</vt:lpstr>
      <vt:lpstr>19.03.2018</vt:lpstr>
      <vt:lpstr>26.03.2018</vt:lpstr>
      <vt:lpstr>02.04.2018</vt:lpstr>
      <vt:lpstr>10.04.2018</vt:lpstr>
      <vt:lpstr>16.04.2018</vt:lpstr>
      <vt:lpstr>23.04.2018 </vt:lpstr>
      <vt:lpstr>02.05.2018</vt:lpstr>
      <vt:lpstr>07.05.2018</vt:lpstr>
      <vt:lpstr>14.05.2018</vt:lpstr>
      <vt:lpstr>21.05.2018</vt:lpstr>
      <vt:lpstr>29.05.2018</vt:lpstr>
      <vt:lpstr>04.06.2018</vt:lpstr>
      <vt:lpstr>11.06.2018</vt:lpstr>
      <vt:lpstr>18.06.2018</vt:lpstr>
      <vt:lpstr>25.06.2018</vt:lpstr>
      <vt:lpstr>02.07.2018</vt:lpstr>
      <vt:lpstr>09.07.2018</vt:lpstr>
      <vt:lpstr>16.07.2018</vt:lpstr>
      <vt:lpstr>23.07.2018</vt:lpstr>
      <vt:lpstr>30.07.2018</vt:lpstr>
      <vt:lpstr>06.08.2018</vt:lpstr>
      <vt:lpstr>13.08.2018</vt:lpstr>
      <vt:lpstr>20.08.2018</vt:lpstr>
      <vt:lpstr>27.08.2018</vt:lpstr>
      <vt:lpstr>03.09.2018</vt:lpstr>
      <vt:lpstr>10.09.2018</vt:lpstr>
      <vt:lpstr>17.09.2018</vt:lpstr>
      <vt:lpstr>24.09.2018</vt:lpstr>
      <vt:lpstr>01.10.2018</vt:lpstr>
      <vt:lpstr>08.10.2018</vt:lpstr>
      <vt:lpstr>16.10.2018</vt:lpstr>
      <vt:lpstr>22.10.2018</vt:lpstr>
      <vt:lpstr>29.10.2018</vt:lpstr>
      <vt:lpstr>05.11.2018</vt:lpstr>
      <vt:lpstr>12.11.2018</vt:lpstr>
      <vt:lpstr>19.11.2018</vt:lpstr>
      <vt:lpstr>26.11.2018</vt:lpstr>
      <vt:lpstr>03.12.2018</vt:lpstr>
      <vt:lpstr>10.12.2018</vt:lpstr>
      <vt:lpstr>17.12.2018</vt:lpstr>
      <vt:lpstr>26.12.2018</vt:lpstr>
      <vt:lpstr>31.12.2018</vt:lpstr>
      <vt:lpstr>Аркуш1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2019-01-03T07:57:11Z</dcterms:modified>
</cp:coreProperties>
</file>