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620"/>
  </bookViews>
  <sheets>
    <sheet name="31.12.2017 " sheetId="59" r:id="rId1"/>
  </sheets>
  <calcPr calcId="162913"/>
</workbook>
</file>

<file path=xl/calcChain.xml><?xml version="1.0" encoding="utf-8"?>
<calcChain xmlns="http://schemas.openxmlformats.org/spreadsheetml/2006/main">
  <c r="Q168" i="59" l="1"/>
  <c r="N168" i="59"/>
  <c r="M168" i="59"/>
  <c r="J168" i="59"/>
  <c r="I168" i="59"/>
  <c r="H168" i="59"/>
  <c r="O167" i="59"/>
  <c r="K167" i="59"/>
  <c r="O166" i="59"/>
  <c r="K166" i="59"/>
  <c r="O165" i="59"/>
  <c r="K165" i="59"/>
  <c r="P164" i="59"/>
  <c r="O164" i="59"/>
  <c r="L164" i="59"/>
  <c r="K164" i="59"/>
  <c r="P163" i="59"/>
  <c r="O163" i="59"/>
  <c r="K163" i="59"/>
  <c r="O162" i="59"/>
  <c r="L162" i="59"/>
  <c r="K162" i="59"/>
  <c r="O161" i="59"/>
  <c r="K161" i="59"/>
  <c r="O160" i="59"/>
  <c r="K160" i="59"/>
  <c r="O159" i="59"/>
  <c r="K159" i="59"/>
  <c r="O158" i="59"/>
  <c r="L158" i="59"/>
  <c r="K158" i="59" s="1"/>
  <c r="O157" i="59"/>
  <c r="K157" i="59"/>
  <c r="P156" i="59"/>
  <c r="O156" i="59" s="1"/>
  <c r="K156" i="59"/>
  <c r="O155" i="59"/>
  <c r="K155" i="59"/>
  <c r="P154" i="59"/>
  <c r="O154" i="59" s="1"/>
  <c r="K154" i="59"/>
  <c r="O153" i="59"/>
  <c r="K153" i="59"/>
  <c r="P152" i="59"/>
  <c r="O152" i="59" s="1"/>
  <c r="L152" i="59"/>
  <c r="K152" i="59" s="1"/>
  <c r="O151" i="59"/>
  <c r="L151" i="59"/>
  <c r="K151" i="59" s="1"/>
  <c r="K150" i="59"/>
  <c r="P149" i="59"/>
  <c r="O149" i="59" s="1"/>
  <c r="L149" i="59"/>
  <c r="K149" i="59" s="1"/>
  <c r="O148" i="59"/>
  <c r="K148" i="59"/>
  <c r="P147" i="59"/>
  <c r="O147" i="59" s="1"/>
  <c r="L147" i="59"/>
  <c r="K147" i="59" s="1"/>
  <c r="P146" i="59"/>
  <c r="O146" i="59" s="1"/>
  <c r="K146" i="59"/>
  <c r="O145" i="59"/>
  <c r="L145" i="59"/>
  <c r="K145" i="59" s="1"/>
  <c r="O144" i="59"/>
  <c r="K144" i="59"/>
  <c r="P143" i="59"/>
  <c r="O143" i="59" s="1"/>
  <c r="L143" i="59"/>
  <c r="K143" i="59" s="1"/>
  <c r="O142" i="59"/>
  <c r="K142" i="59"/>
  <c r="P141" i="59"/>
  <c r="O141" i="59" s="1"/>
  <c r="K141" i="59"/>
  <c r="O140" i="59"/>
  <c r="K140" i="59"/>
  <c r="P139" i="59"/>
  <c r="O139" i="59"/>
  <c r="L139" i="59"/>
  <c r="K139" i="59"/>
  <c r="O138" i="59"/>
  <c r="L138" i="59"/>
  <c r="K138" i="59" s="1"/>
  <c r="P137" i="59"/>
  <c r="O137" i="59" s="1"/>
  <c r="L137" i="59"/>
  <c r="K137" i="59" s="1"/>
  <c r="O136" i="59"/>
  <c r="L136" i="59"/>
  <c r="K136" i="59" s="1"/>
  <c r="O135" i="59"/>
  <c r="K135" i="59"/>
  <c r="O134" i="59"/>
  <c r="K134" i="59"/>
  <c r="O133" i="59"/>
  <c r="K133" i="59"/>
  <c r="O132" i="59"/>
  <c r="K132" i="59"/>
  <c r="O131" i="59"/>
  <c r="K131" i="59"/>
  <c r="O130" i="59"/>
  <c r="K130" i="59"/>
  <c r="O129" i="59"/>
  <c r="L129" i="59"/>
  <c r="K129" i="59" s="1"/>
  <c r="O128" i="59"/>
  <c r="K128" i="59"/>
  <c r="K127" i="59"/>
  <c r="O126" i="59"/>
  <c r="K126" i="59"/>
  <c r="O125" i="59"/>
  <c r="K125" i="59"/>
  <c r="O124" i="59"/>
  <c r="K124" i="59"/>
  <c r="O123" i="59"/>
  <c r="K123" i="59"/>
  <c r="O122" i="59"/>
  <c r="K122" i="59"/>
  <c r="O121" i="59"/>
  <c r="L121" i="59"/>
  <c r="K121" i="59" s="1"/>
  <c r="P120" i="59"/>
  <c r="O120" i="59" s="1"/>
  <c r="L120" i="59"/>
  <c r="K120" i="59" s="1"/>
  <c r="O119" i="59"/>
  <c r="K119" i="59"/>
  <c r="P118" i="59"/>
  <c r="O118" i="59" s="1"/>
  <c r="L118" i="59"/>
  <c r="K118" i="59" s="1"/>
  <c r="O117" i="59"/>
  <c r="K117" i="59"/>
  <c r="P116" i="59"/>
  <c r="O116" i="59" s="1"/>
  <c r="K116" i="59"/>
  <c r="O115" i="59"/>
  <c r="K115" i="59"/>
  <c r="P114" i="59"/>
  <c r="O114" i="59"/>
  <c r="L114" i="59"/>
  <c r="K114" i="59"/>
  <c r="O113" i="59"/>
  <c r="K113" i="59"/>
  <c r="P112" i="59"/>
  <c r="O112" i="59"/>
  <c r="L112" i="59"/>
  <c r="K112" i="59"/>
  <c r="O111" i="59"/>
  <c r="K111" i="59"/>
  <c r="O110" i="59"/>
  <c r="L110" i="59"/>
  <c r="K110" i="59" s="1"/>
  <c r="P109" i="59"/>
  <c r="O109" i="59" s="1"/>
  <c r="L109" i="59"/>
  <c r="K109" i="59" s="1"/>
  <c r="O108" i="59"/>
  <c r="K108" i="59"/>
  <c r="P107" i="59"/>
  <c r="O107" i="59" s="1"/>
  <c r="L107" i="59"/>
  <c r="K107" i="59" s="1"/>
  <c r="O105" i="59"/>
  <c r="L105" i="59"/>
  <c r="K105" i="59" s="1"/>
  <c r="O104" i="59"/>
  <c r="K104" i="59"/>
  <c r="P103" i="59"/>
  <c r="O103" i="59" s="1"/>
  <c r="L103" i="59"/>
  <c r="K103" i="59" s="1"/>
  <c r="O102" i="59"/>
  <c r="K102" i="59"/>
  <c r="O101" i="59"/>
  <c r="K101" i="59"/>
  <c r="O100" i="59"/>
  <c r="K100" i="59"/>
  <c r="P99" i="59"/>
  <c r="O99" i="59" s="1"/>
  <c r="L99" i="59"/>
  <c r="K99" i="59" s="1"/>
  <c r="K98" i="59"/>
  <c r="K97" i="59"/>
  <c r="O96" i="59"/>
  <c r="K96" i="59"/>
  <c r="O95" i="59"/>
  <c r="K95" i="59"/>
  <c r="K94" i="59"/>
  <c r="P93" i="59"/>
  <c r="O93" i="59" s="1"/>
  <c r="L93" i="59"/>
  <c r="K93" i="59" s="1"/>
  <c r="O92" i="59"/>
  <c r="L92" i="59"/>
  <c r="K92" i="59" s="1"/>
  <c r="O91" i="59"/>
  <c r="K91" i="59"/>
  <c r="O90" i="59"/>
  <c r="K90" i="59"/>
  <c r="O89" i="59"/>
  <c r="K89" i="59"/>
  <c r="O88" i="59"/>
  <c r="K88" i="59"/>
  <c r="P87" i="59"/>
  <c r="O87" i="59" s="1"/>
  <c r="L87" i="59"/>
  <c r="K87" i="59" s="1"/>
  <c r="O86" i="59"/>
  <c r="L86" i="59"/>
  <c r="K86" i="59" s="1"/>
  <c r="O85" i="59"/>
  <c r="L85" i="59"/>
  <c r="K85" i="59"/>
  <c r="O84" i="59"/>
  <c r="K84" i="59"/>
  <c r="O83" i="59"/>
  <c r="K83" i="59"/>
  <c r="P82" i="59"/>
  <c r="O82" i="59"/>
  <c r="L82" i="59"/>
  <c r="K82" i="59"/>
  <c r="O81" i="59"/>
  <c r="K81" i="59"/>
  <c r="O80" i="59"/>
  <c r="K80" i="59"/>
  <c r="O79" i="59"/>
  <c r="K79" i="59"/>
  <c r="O78" i="59"/>
  <c r="K78" i="59"/>
  <c r="P77" i="59"/>
  <c r="O77" i="59"/>
  <c r="L77" i="59"/>
  <c r="K77" i="59"/>
  <c r="O76" i="59"/>
  <c r="K76" i="59"/>
  <c r="O75" i="59"/>
  <c r="L75" i="59"/>
  <c r="K75" i="59" s="1"/>
  <c r="P74" i="59"/>
  <c r="O74" i="59" s="1"/>
  <c r="K74" i="59"/>
  <c r="O73" i="59"/>
  <c r="K73" i="59"/>
  <c r="O72" i="59"/>
  <c r="K72" i="59"/>
  <c r="O71" i="59"/>
  <c r="K71" i="59"/>
  <c r="P70" i="59"/>
  <c r="O70" i="59"/>
  <c r="L70" i="59"/>
  <c r="K70" i="59"/>
  <c r="O69" i="59"/>
  <c r="K69" i="59"/>
  <c r="O68" i="59"/>
  <c r="K68" i="59"/>
  <c r="O67" i="59"/>
  <c r="K67" i="59"/>
  <c r="P66" i="59"/>
  <c r="O66" i="59"/>
  <c r="L66" i="59"/>
  <c r="K66" i="59"/>
  <c r="O65" i="59"/>
  <c r="K65" i="59"/>
  <c r="P64" i="59"/>
  <c r="O64" i="59"/>
  <c r="L64" i="59"/>
  <c r="K64" i="59"/>
  <c r="O63" i="59"/>
  <c r="K63" i="59"/>
  <c r="P62" i="59"/>
  <c r="O62" i="59"/>
  <c r="L62" i="59"/>
  <c r="K62" i="59"/>
  <c r="O61" i="59"/>
  <c r="K61" i="59"/>
  <c r="O60" i="59"/>
  <c r="L60" i="59"/>
  <c r="K60" i="59" s="1"/>
  <c r="P59" i="59"/>
  <c r="O59" i="59" s="1"/>
  <c r="L59" i="59"/>
  <c r="K59" i="59" s="1"/>
  <c r="O58" i="59"/>
  <c r="K58" i="59"/>
  <c r="P57" i="59"/>
  <c r="O57" i="59" s="1"/>
  <c r="L57" i="59"/>
  <c r="K57" i="59" s="1"/>
  <c r="O56" i="59"/>
  <c r="K56" i="59"/>
  <c r="P55" i="59"/>
  <c r="O55" i="59" s="1"/>
  <c r="L55" i="59"/>
  <c r="K55" i="59" s="1"/>
  <c r="O54" i="59"/>
  <c r="L54" i="59"/>
  <c r="K54" i="59" s="1"/>
  <c r="P53" i="59"/>
  <c r="O53" i="59" s="1"/>
  <c r="K53" i="59"/>
  <c r="O52" i="59"/>
  <c r="K52" i="59"/>
  <c r="P51" i="59"/>
  <c r="O51" i="59" s="1"/>
  <c r="L51" i="59"/>
  <c r="K51" i="59" s="1"/>
  <c r="O50" i="59"/>
  <c r="L50" i="59"/>
  <c r="K50" i="59" s="1"/>
  <c r="O49" i="59"/>
  <c r="K49" i="59"/>
  <c r="P48" i="59"/>
  <c r="O48" i="59" s="1"/>
  <c r="L48" i="59"/>
  <c r="K48" i="59" s="1"/>
  <c r="O47" i="59"/>
  <c r="K47" i="59"/>
  <c r="P46" i="59"/>
  <c r="O46" i="59" s="1"/>
  <c r="L46" i="59"/>
  <c r="K46" i="59" s="1"/>
  <c r="O45" i="59"/>
  <c r="K45" i="59"/>
  <c r="P44" i="59"/>
  <c r="O44" i="59" s="1"/>
  <c r="L44" i="59"/>
  <c r="K44" i="59" s="1"/>
  <c r="O43" i="59"/>
  <c r="K43" i="59"/>
  <c r="P42" i="59"/>
  <c r="O42" i="59" s="1"/>
  <c r="L42" i="59"/>
  <c r="K42" i="59" s="1"/>
  <c r="O41" i="59"/>
  <c r="K41" i="59"/>
  <c r="P40" i="59"/>
  <c r="O40" i="59" s="1"/>
  <c r="L40" i="59"/>
  <c r="K40" i="59" s="1"/>
  <c r="O39" i="59"/>
  <c r="K39" i="59"/>
  <c r="P38" i="59"/>
  <c r="O38" i="59" s="1"/>
  <c r="L38" i="59"/>
  <c r="K38" i="59" s="1"/>
  <c r="O37" i="59"/>
  <c r="K37" i="59"/>
  <c r="P36" i="59"/>
  <c r="O36" i="59" s="1"/>
  <c r="L36" i="59"/>
  <c r="K36" i="59" s="1"/>
  <c r="O35" i="59"/>
  <c r="K35" i="59"/>
  <c r="O34" i="59"/>
  <c r="L34" i="59"/>
  <c r="K34" i="59" s="1"/>
  <c r="O33" i="59"/>
  <c r="K33" i="59"/>
  <c r="P32" i="59"/>
  <c r="O32" i="59" s="1"/>
  <c r="L32" i="59"/>
  <c r="K32" i="59" s="1"/>
  <c r="O31" i="59"/>
  <c r="K31" i="59"/>
  <c r="O30" i="59"/>
  <c r="K30" i="59"/>
  <c r="P29" i="59"/>
  <c r="O29" i="59" s="1"/>
  <c r="L29" i="59"/>
  <c r="K29" i="59" s="1"/>
  <c r="O27" i="59"/>
  <c r="K27" i="59"/>
  <c r="O26" i="59"/>
  <c r="L26" i="59"/>
  <c r="K26" i="59"/>
  <c r="O25" i="59"/>
  <c r="K25" i="59"/>
  <c r="O24" i="59"/>
  <c r="K24" i="59"/>
  <c r="P23" i="59"/>
  <c r="O23" i="59"/>
  <c r="L23" i="59"/>
  <c r="K23" i="59"/>
  <c r="O22" i="59"/>
  <c r="K22" i="59"/>
  <c r="O21" i="59"/>
  <c r="K21" i="59"/>
  <c r="P20" i="59"/>
  <c r="O20" i="59"/>
  <c r="L20" i="59"/>
  <c r="K20" i="59"/>
  <c r="O19" i="59"/>
  <c r="L19" i="59"/>
  <c r="K19" i="59" s="1"/>
  <c r="O18" i="59"/>
  <c r="K18" i="59"/>
  <c r="O17" i="59"/>
  <c r="K17" i="59"/>
  <c r="P16" i="59"/>
  <c r="O16" i="59" s="1"/>
  <c r="L16" i="59"/>
  <c r="K16" i="59" s="1"/>
  <c r="O15" i="59"/>
  <c r="K15" i="59"/>
  <c r="O14" i="59"/>
  <c r="L14" i="59"/>
  <c r="K14" i="59" s="1"/>
  <c r="O13" i="59"/>
  <c r="K13" i="59"/>
  <c r="P12" i="59"/>
  <c r="O12" i="59" s="1"/>
  <c r="L12" i="59"/>
  <c r="L168" i="59" s="1"/>
  <c r="O11" i="59"/>
  <c r="K11" i="59"/>
  <c r="P10" i="59"/>
  <c r="P168" i="59" s="1"/>
  <c r="K10" i="59"/>
  <c r="B9" i="59"/>
  <c r="C9" i="59" s="1"/>
  <c r="D9" i="59" s="1"/>
  <c r="E9" i="59" s="1"/>
  <c r="F9" i="59" s="1"/>
  <c r="G9" i="59" s="1"/>
  <c r="H9" i="59" s="1"/>
  <c r="I9" i="59" s="1"/>
  <c r="J9" i="59" s="1"/>
  <c r="K9" i="59" s="1"/>
  <c r="L9" i="59" s="1"/>
  <c r="M9" i="59" s="1"/>
  <c r="N9" i="59" s="1"/>
  <c r="O9" i="59" s="1"/>
  <c r="P9" i="59" s="1"/>
  <c r="Q9" i="59" s="1"/>
  <c r="O10" i="59" l="1"/>
  <c r="K12" i="59"/>
  <c r="K168" i="59" s="1"/>
  <c r="O168" i="59"/>
</calcChain>
</file>

<file path=xl/sharedStrings.xml><?xml version="1.0" encoding="utf-8"?>
<sst xmlns="http://schemas.openxmlformats.org/spreadsheetml/2006/main" count="823" uniqueCount="291">
  <si>
    <t>№</t>
  </si>
  <si>
    <t>Організаційна форма адвокатської діяльності (ІНД, АБ, АО)</t>
  </si>
  <si>
    <t>Населений пункт, де знаходиться робоче місце адвоката (за ЄРАУ)</t>
  </si>
  <si>
    <t>Назва адвокатського бюро чи адвокатського об'єднання</t>
  </si>
  <si>
    <t>ПІБ адвокатів, з якими центрами з надання БВПД (було) укладено контракт / договір</t>
  </si>
  <si>
    <t>Назва центру з надання БВПД, з яким адвокатом (було) укладено контракт / договір (скорочено)</t>
  </si>
  <si>
    <t>Реквізити контракту / договору (дата укладання, №)</t>
  </si>
  <si>
    <t>кількість виданих відповідним центром доручень (без врахування скасованих доручень, БВПД за якими не надавалася)</t>
  </si>
  <si>
    <t>кількість доручень, за якими відповідним центром прийнято хоча б один акт</t>
  </si>
  <si>
    <t>кількість актів, прийнятих відповідним центром</t>
  </si>
  <si>
    <t>І. Інформація про адвоката, який надає БВПД</t>
  </si>
  <si>
    <t>сума фактичних видатків (зареєстрованих та взятих на облік органами ДКСУ) за затвердженими актами, грн</t>
  </si>
  <si>
    <t>сума касових видатків за затвердженими актами, грн</t>
  </si>
  <si>
    <t>сума кредиторської заборгованості за затвердженими актами, грн</t>
  </si>
  <si>
    <t>(назва регіонального центру з надання БВПД, яким підготовано інформацію)</t>
  </si>
  <si>
    <t>Регіональний центр з надання безоплатної вторинної правової допомоги у Херсонській області</t>
  </si>
  <si>
    <t>ІІ. Інформація за дорученнями, виданими у 2017 році</t>
  </si>
  <si>
    <t xml:space="preserve">Додаток 2
до наказу Координаційного центру
з надання правової допомоги
від «31» грудня 2015 року № 308
(в редакції наказу Координаційного центру з надання правової допомоги
від 13 січня 2017 року № 121)
</t>
  </si>
  <si>
    <t>ІІІ. Інформація за дорученнями, виданими у попередніх бюджетних періодах (включаючи ті, за якими станом на 01.01.2017 р. зареєстровано кредиторську заборгованість)</t>
  </si>
  <si>
    <t>Андруневич Віктор Миколайович</t>
  </si>
  <si>
    <t>індивідуальна</t>
  </si>
  <si>
    <t>м. Херсон</t>
  </si>
  <si>
    <t xml:space="preserve">Аносов Юрій Валентинович </t>
  </si>
  <si>
    <t>смт В. Лепетиха</t>
  </si>
  <si>
    <t xml:space="preserve">Антипенко Віктор Павлович </t>
  </si>
  <si>
    <t>Антонович Наталія Анатоліївна</t>
  </si>
  <si>
    <t>м. Цюрупинськ</t>
  </si>
  <si>
    <t>Бібік Артем Віталійович</t>
  </si>
  <si>
    <t xml:space="preserve">Бітюра Анатолій Анатолійович </t>
  </si>
  <si>
    <t>м. Таврійськ</t>
  </si>
  <si>
    <t>Блонський Денис Миколайович</t>
  </si>
  <si>
    <t xml:space="preserve">Болтушенко Дмитро Володимирович </t>
  </si>
  <si>
    <t>АБ</t>
  </si>
  <si>
    <t>Дмитро Болтушенко і партнери</t>
  </si>
  <si>
    <t xml:space="preserve">смт Білозерка </t>
  </si>
  <si>
    <t xml:space="preserve">Бондар Володимир Борисович </t>
  </si>
  <si>
    <t>м. Генічеськ</t>
  </si>
  <si>
    <t>Бордун Вікторія Олександрівна</t>
  </si>
  <si>
    <t>м. Нова Каховка</t>
  </si>
  <si>
    <t>Бурлай Дмитро Валерійович</t>
  </si>
  <si>
    <t>смт Нововоронцовка</t>
  </si>
  <si>
    <t xml:space="preserve">Васильєва Маргарита Володимирівна </t>
  </si>
  <si>
    <t>Вознюк Галина Миколаївна</t>
  </si>
  <si>
    <t>м. Каховка</t>
  </si>
  <si>
    <t>Вознюк Олександр Віталійович</t>
  </si>
  <si>
    <t>Гагуліна Олена Миколаївна</t>
  </si>
  <si>
    <t xml:space="preserve">Галига Олександр Володимирович </t>
  </si>
  <si>
    <t>смт Високопілля</t>
  </si>
  <si>
    <t xml:space="preserve">Голубцов Анатолій Геннадійович </t>
  </si>
  <si>
    <t xml:space="preserve">Гончаров Михайло Васильович </t>
  </si>
  <si>
    <t xml:space="preserve">Горішній Олег Олександрович </t>
  </si>
  <si>
    <t xml:space="preserve">Горощенко Любов Володимирівна </t>
  </si>
  <si>
    <t>м. Берислав</t>
  </si>
  <si>
    <t xml:space="preserve">Дубейко Сергій Миколайович </t>
  </si>
  <si>
    <t>АО</t>
  </si>
  <si>
    <t xml:space="preserve">Херсонська колегія адвокатів </t>
  </si>
  <si>
    <t>Дубков Василь Іванович</t>
  </si>
  <si>
    <t>Дубков Іван Степанович</t>
  </si>
  <si>
    <t>Дяченко Ярослав Миколайович</t>
  </si>
  <si>
    <t>АО "МІМІР"</t>
  </si>
  <si>
    <t xml:space="preserve">Жукова Людмила Федорівна </t>
  </si>
  <si>
    <t xml:space="preserve">Зайцев Микола Павлович </t>
  </si>
  <si>
    <t>смт Новотроїцьке</t>
  </si>
  <si>
    <t>Зварич Євгеній Григорович</t>
  </si>
  <si>
    <t xml:space="preserve">Іванов Сергій Сергійович </t>
  </si>
  <si>
    <t>Калімбет Тетяна Адамівна</t>
  </si>
  <si>
    <t>Карпенко Деніс Ленонідович</t>
  </si>
  <si>
    <t>Коваленко Володимир Федорович</t>
  </si>
  <si>
    <t>cмт Ніжні Сірогози</t>
  </si>
  <si>
    <t>Ковальова Ірина Василівна</t>
  </si>
  <si>
    <t>Колосов Микола Анатолійович</t>
  </si>
  <si>
    <t xml:space="preserve">Кривоносов Ігор Володимирович </t>
  </si>
  <si>
    <t>Кудрик Андрій Іванович</t>
  </si>
  <si>
    <t xml:space="preserve">Кузнецов Геннадій Іванович </t>
  </si>
  <si>
    <t xml:space="preserve">Кузнецова Олена Геннадіївна </t>
  </si>
  <si>
    <t>Кузьменко Олексій Анатолійович</t>
  </si>
  <si>
    <t>Купчак Сергій Богданович</t>
  </si>
  <si>
    <t xml:space="preserve">Кушнеренко Тамара Валеріївна </t>
  </si>
  <si>
    <t>смт Каланчак</t>
  </si>
  <si>
    <t>м. Скадовськ</t>
  </si>
  <si>
    <t>Мальцев Яків Михайлович</t>
  </si>
  <si>
    <t xml:space="preserve">Марухненко Ірина Петрівна </t>
  </si>
  <si>
    <t>Марченков Іван Іванович</t>
  </si>
  <si>
    <t>Морозенко Олена Георгіївна</t>
  </si>
  <si>
    <t>Назаров Сергій Олександрович</t>
  </si>
  <si>
    <t>Нікітін Руслан Валерійович</t>
  </si>
  <si>
    <t>Остапенко Андрій Васильович</t>
  </si>
  <si>
    <t xml:space="preserve">Охлопков Іван Олександрович </t>
  </si>
  <si>
    <t xml:space="preserve">Охлопков Олександр Іванович </t>
  </si>
  <si>
    <t>Панчук Микола Олексійович</t>
  </si>
  <si>
    <t>Суворовск.юрид.консульт.м.Херсона</t>
  </si>
  <si>
    <t>Панчук Наталія Валеріївна</t>
  </si>
  <si>
    <t>Пацалова Тамара Валеріївна</t>
  </si>
  <si>
    <t>Пестрецова Римма Геннадіївна</t>
  </si>
  <si>
    <t>смт Нижні Сірогози</t>
  </si>
  <si>
    <t>Петренко Катерина Дмитрівна</t>
  </si>
  <si>
    <t xml:space="preserve">Петренко Тарас Володимирович </t>
  </si>
  <si>
    <t>смт В.Олександрівка</t>
  </si>
  <si>
    <t>Петряєв Володимир Вікторович</t>
  </si>
  <si>
    <t>Подшибякін Ян Євгенович</t>
  </si>
  <si>
    <t>Попович Анатолій Володимирович</t>
  </si>
  <si>
    <t>Протасов Євгеній Васильович</t>
  </si>
  <si>
    <t xml:space="preserve">Проценко Микола Вікторович </t>
  </si>
  <si>
    <t>Адвокатське бюро "Проценко"</t>
  </si>
  <si>
    <t xml:space="preserve">Рєбров Єгор Сергійович </t>
  </si>
  <si>
    <t>Риженко Денис Олегович</t>
  </si>
  <si>
    <t>м.Херсон</t>
  </si>
  <si>
    <t>Соколовський Сергій Анатолійович</t>
  </si>
  <si>
    <t>"Адвокатське бюро Сергея Соколовського"</t>
  </si>
  <si>
    <t>Стукан Юлія Олегівна</t>
  </si>
  <si>
    <t>Твердохлеб Олена Валеріївна</t>
  </si>
  <si>
    <t>Токаленко Валентина Михайлівна</t>
  </si>
  <si>
    <t>Юрид.конс.Комсом.району м.Херсон</t>
  </si>
  <si>
    <t>Токарєва Інна Віталіївна</t>
  </si>
  <si>
    <t>м.Генічеськ</t>
  </si>
  <si>
    <t>Фінкевич Володимир Григорович</t>
  </si>
  <si>
    <t xml:space="preserve">Форощук Людмила Анатоліївна </t>
  </si>
  <si>
    <t>Хащініна Галина Олександрівна</t>
  </si>
  <si>
    <t xml:space="preserve">Шадманов Камілжан Шейфутдинович </t>
  </si>
  <si>
    <t>Юрид.конс.Комсом.району  м.Херсон</t>
  </si>
  <si>
    <t>Шилін Євген Юрійович</t>
  </si>
  <si>
    <t>Щеглов Дмитро Сергійович</t>
  </si>
  <si>
    <t xml:space="preserve">№ від </t>
  </si>
  <si>
    <t>РЦ з НБВПД у Херсон. Обл.</t>
  </si>
  <si>
    <t>Херсонський МЦ з НБВПД</t>
  </si>
  <si>
    <t>№ від</t>
  </si>
  <si>
    <t>Бериславський МЦ з НБВПД</t>
  </si>
  <si>
    <t>Бітюра Анатолій Анатолійович</t>
  </si>
  <si>
    <t>Галига Олександр Володимирович</t>
  </si>
  <si>
    <t>Краснова Ірина Володимирівна</t>
  </si>
  <si>
    <t>Петренко Тарас Володимирович</t>
  </si>
  <si>
    <t>м. Цюрупинськ, м. Гола Пристань</t>
  </si>
  <si>
    <t xml:space="preserve">№ 1 від </t>
  </si>
  <si>
    <t>Голопристанський МЦ з НБВПД</t>
  </si>
  <si>
    <t>м. Херсон, м. Гола Пристань</t>
  </si>
  <si>
    <t>м. Скадовськ, смт. Каланчак</t>
  </si>
  <si>
    <t xml:space="preserve">м. Скадовськ, </t>
  </si>
  <si>
    <t>Аносов Юрій Валентинович</t>
  </si>
  <si>
    <t>Каховський МЦ з НБВПД</t>
  </si>
  <si>
    <t>Антипенко Віктор Павлович</t>
  </si>
  <si>
    <t>Гринечко Сергій Богданович</t>
  </si>
  <si>
    <t>Зайцев Микола Павлович</t>
  </si>
  <si>
    <t>Кушнеренко Тамара Валеріївна</t>
  </si>
  <si>
    <t>Форощук Людмила Анатоліївна</t>
  </si>
  <si>
    <t>РЦ з НБВПД у Херсон. обл.</t>
  </si>
  <si>
    <t>№ 10 від 24.02.2016</t>
  </si>
  <si>
    <t>Радінович Володимир Ігорович</t>
  </si>
  <si>
    <t xml:space="preserve">            Всього видано доручень</t>
  </si>
  <si>
    <t>Тільненко Владислав Володимирович</t>
  </si>
  <si>
    <t>Груша Марина Дмитрівна</t>
  </si>
  <si>
    <r>
      <rPr>
        <b/>
        <sz val="11"/>
        <color rgb="FF000000"/>
        <rFont val="Calibri"/>
        <family val="2"/>
        <charset val="204"/>
      </rPr>
      <t xml:space="preserve">Оперативна інформація щодо видання доручень центрами з надання БВПД, оплати послуг та відшкодування витрат адвокатів, які надають БВПД, </t>
    </r>
    <r>
      <rPr>
        <b/>
        <u/>
        <sz val="11"/>
        <color rgb="FF000000"/>
        <rFont val="Calibri"/>
        <family val="2"/>
        <charset val="204"/>
      </rPr>
      <t>у 2017 році</t>
    </r>
  </si>
  <si>
    <t>№ 1 від 23.03.2017</t>
  </si>
  <si>
    <t xml:space="preserve">№ 4 від 23.03.2017 </t>
  </si>
  <si>
    <t xml:space="preserve">№ 5 від 23.03.2017 </t>
  </si>
  <si>
    <t xml:space="preserve">№ 6 від 23.03.2017 </t>
  </si>
  <si>
    <t xml:space="preserve">№ 7 від 23.03.2017 </t>
  </si>
  <si>
    <t xml:space="preserve">№ 8 від 23.03.2017 </t>
  </si>
  <si>
    <t xml:space="preserve">№ 9 від 23.03.2017 </t>
  </si>
  <si>
    <t xml:space="preserve">№ 10 від 23.03.2017 </t>
  </si>
  <si>
    <t xml:space="preserve">№ 11 від 23.03.2017 </t>
  </si>
  <si>
    <t xml:space="preserve">№ 12 від 23.03.2017 </t>
  </si>
  <si>
    <t xml:space="preserve">№ 13 від 23.03.2017 </t>
  </si>
  <si>
    <t>№ 14 від 23.03.2017</t>
  </si>
  <si>
    <t xml:space="preserve">№ 15 від 23.03.2017 </t>
  </si>
  <si>
    <t xml:space="preserve">№ 16 від 23.03.2017 </t>
  </si>
  <si>
    <t>№ 17 від 23.03.2017</t>
  </si>
  <si>
    <t xml:space="preserve">№ 18 від 23.03.2017 </t>
  </si>
  <si>
    <t xml:space="preserve">№ 20 від 23.03.2017 </t>
  </si>
  <si>
    <t xml:space="preserve">№ 21 від 23.03.2017 </t>
  </si>
  <si>
    <t xml:space="preserve">№ 22 від 23.03.2017 </t>
  </si>
  <si>
    <t>№ 23 від 23.03.2017</t>
  </si>
  <si>
    <t>№ 24 від 23.03.2017</t>
  </si>
  <si>
    <t>№ 25 від 23.03.2017</t>
  </si>
  <si>
    <t>№ 26 від 23.03.2017</t>
  </si>
  <si>
    <t>№ 27 від 23.03.2017</t>
  </si>
  <si>
    <t xml:space="preserve">№ 28 від 23.03.2017 </t>
  </si>
  <si>
    <t xml:space="preserve">№ 29 від 23.03.2017 </t>
  </si>
  <si>
    <t>№ 30 від 23.03.2017</t>
  </si>
  <si>
    <t>№ 31 від 23.03.2017</t>
  </si>
  <si>
    <t>№ 33 від 23.03.2017</t>
  </si>
  <si>
    <t>№ 34 від 23.03.2017</t>
  </si>
  <si>
    <t>№ 35 від 23.03.2017</t>
  </si>
  <si>
    <t xml:space="preserve">№ 37 від 23.03.2017 </t>
  </si>
  <si>
    <t>№ 38 від 23.03.2017</t>
  </si>
  <si>
    <t>№ 39 від 23.03.2017</t>
  </si>
  <si>
    <t>№ 41 від 23.03.2017</t>
  </si>
  <si>
    <t>№ 42 від 23.03.2017</t>
  </si>
  <si>
    <t>Нікітін і партнери</t>
  </si>
  <si>
    <t>№ 43 від 23.03.2017</t>
  </si>
  <si>
    <t>№ 44 від 23.03.2017</t>
  </si>
  <si>
    <t>№ 45 від 23.03.2017</t>
  </si>
  <si>
    <t>№ 46 від 23.03.2017</t>
  </si>
  <si>
    <t>№ 47 від 23.03.2017</t>
  </si>
  <si>
    <t>№ 48 від 23.03.2017</t>
  </si>
  <si>
    <t>№ 49 від 23.03.2017</t>
  </si>
  <si>
    <t>№ 50 від 23.03.2017</t>
  </si>
  <si>
    <t>№ 51 від 23.03.2017</t>
  </si>
  <si>
    <t>№ 52 від 23.03.2017</t>
  </si>
  <si>
    <t>№ 53 від 23.03.2017</t>
  </si>
  <si>
    <t>№ 54 від 23.03.2017</t>
  </si>
  <si>
    <t>№ 55 від 23.03.2017</t>
  </si>
  <si>
    <t>№ 56 від 23.03.2017</t>
  </si>
  <si>
    <t>№ 45 від 27.03.14</t>
  </si>
  <si>
    <t>№ 57 від 23.03.2017</t>
  </si>
  <si>
    <t xml:space="preserve">№ 58 від 23.03.2017 </t>
  </si>
  <si>
    <t>№ 59 від 23.03.2017</t>
  </si>
  <si>
    <t>№ 60 від 23.03.2017</t>
  </si>
  <si>
    <t>№ 61 від 23.03.2017</t>
  </si>
  <si>
    <t>№ 62 від 23.03.2017</t>
  </si>
  <si>
    <t>№ 64 від 23.03.2017</t>
  </si>
  <si>
    <t>№ 65 від 23.03.2017</t>
  </si>
  <si>
    <t>№ 66 від 23.03.2017</t>
  </si>
  <si>
    <t>Швець Аркадій Іванович</t>
  </si>
  <si>
    <t>Голопристанвський МЦ з НБВПД</t>
  </si>
  <si>
    <t>№ 9 від 29.03.2017</t>
  </si>
  <si>
    <t>№ 8 від 29.03.2017</t>
  </si>
  <si>
    <t>№ 6 від 29.03.2017</t>
  </si>
  <si>
    <t>№ 1 від 24.03.2017</t>
  </si>
  <si>
    <t>№ 2 від 29.03.2017</t>
  </si>
  <si>
    <t>№ 4 від 29.03.2017</t>
  </si>
  <si>
    <t>№ 5 від 29.03.2017</t>
  </si>
  <si>
    <t>№ 7 від 29.03.2017</t>
  </si>
  <si>
    <t>№ 3 від 29.03.2017</t>
  </si>
  <si>
    <t xml:space="preserve">№6/ХМЦ  від 27.03.17 </t>
  </si>
  <si>
    <t>№ 5/ХМЦ від 23.03.17</t>
  </si>
  <si>
    <t>№ 7/ХМЦ  від 27.03.17</t>
  </si>
  <si>
    <t>№ 8/ХМЦ від 24.03.17</t>
  </si>
  <si>
    <t xml:space="preserve">№ 2/ХМЦ від 23.03.17 </t>
  </si>
  <si>
    <t>№ 1/ХМЦ від 23.03.17</t>
  </si>
  <si>
    <t>№4/ХМЦ від 23.03.17</t>
  </si>
  <si>
    <t>№ 9/ХМЦ від 27.03.17</t>
  </si>
  <si>
    <t>№ 3/ХМЦ від 23.03.17</t>
  </si>
  <si>
    <t>№ 11 від 03.04.2017</t>
  </si>
  <si>
    <t>№ 12 від 05.04.2017</t>
  </si>
  <si>
    <t>№ 10 від 03.04.2017</t>
  </si>
  <si>
    <t>№12 ХМЦ від 06.04.17</t>
  </si>
  <si>
    <t>№14 ХМЦ  від 07.04.17</t>
  </si>
  <si>
    <t>№ 11 ХМЦ від 03.04.17</t>
  </si>
  <si>
    <t>№ 13 ХМЦ від 06.04.17</t>
  </si>
  <si>
    <t>№  2 від 06.04.2017</t>
  </si>
  <si>
    <t>№  1 від 06.04.2017</t>
  </si>
  <si>
    <t>Клецько Юрій Семенович</t>
  </si>
  <si>
    <t>№ 32 від 13.04.2017</t>
  </si>
  <si>
    <t>№ 2 від 13.04.2017</t>
  </si>
  <si>
    <t xml:space="preserve">№ 3 від 13.04.2017 </t>
  </si>
  <si>
    <t>№ 63 від  13.04.2017</t>
  </si>
  <si>
    <t xml:space="preserve">№  40 від 13.04.2017 </t>
  </si>
  <si>
    <t>№ 19 від 13.04.2017</t>
  </si>
  <si>
    <t>№ 13 від 12.04.2017</t>
  </si>
  <si>
    <t>№14 від 12.04.2017</t>
  </si>
  <si>
    <t>№4 від 13.04.2017</t>
  </si>
  <si>
    <t>№ 3 від 10.04.2017</t>
  </si>
  <si>
    <t>№ 3 від 13.04.2017</t>
  </si>
  <si>
    <t>№ 4 від 13.04.2017</t>
  </si>
  <si>
    <t>№ 5 від 13.04.2017</t>
  </si>
  <si>
    <t>№ 6 від  13.04.2017</t>
  </si>
  <si>
    <t>№ 1 від 13.04.2017</t>
  </si>
  <si>
    <t>№ 7 від 13.04.2017</t>
  </si>
  <si>
    <t>№  5 від 14.04.2017</t>
  </si>
  <si>
    <t>№ 15 від 21.04.2017</t>
  </si>
  <si>
    <t>№ 7 від 21.04.2017</t>
  </si>
  <si>
    <t>№  6 від 21.04.2017</t>
  </si>
  <si>
    <t>№  8 від 24.04.2017</t>
  </si>
  <si>
    <t xml:space="preserve">№ 15/ХМЦ  від 21.04.17 </t>
  </si>
  <si>
    <t>№ 18/ХМЦ від 25.04.17</t>
  </si>
  <si>
    <t>№16/ХМЦ від 21.04.17</t>
  </si>
  <si>
    <t>№ 17/ХМЦ від 21.04.17</t>
  </si>
  <si>
    <t xml:space="preserve">№ 36 від 27.04.2017 </t>
  </si>
  <si>
    <t>Станчук Андрій Юрійович</t>
  </si>
  <si>
    <t>№20 ХМЦ від 12.05.2017</t>
  </si>
  <si>
    <t>Лагода Анатолій Анатолійович</t>
  </si>
  <si>
    <t>№  від</t>
  </si>
  <si>
    <t>№ 21/ХМЦ від 22.05.2017</t>
  </si>
  <si>
    <t>№ 19/ХМЦ від 04.05.2017</t>
  </si>
  <si>
    <t>№ 8 від 20.06.2017</t>
  </si>
  <si>
    <t>№ 23/ХМЦ від 07.07.2017</t>
  </si>
  <si>
    <t>№ 22/ХМЦ від 03.07.2017</t>
  </si>
  <si>
    <t>Бакарасєва Ірина Олегівна</t>
  </si>
  <si>
    <t xml:space="preserve">№     від                  </t>
  </si>
  <si>
    <t xml:space="preserve"> </t>
  </si>
  <si>
    <t>№        від</t>
  </si>
  <si>
    <t>№       від</t>
  </si>
  <si>
    <t>№ 68 від 20.10.2017</t>
  </si>
  <si>
    <t>м. Херсон, Гола Прист. р-ни</t>
  </si>
  <si>
    <t>Петренко Ксенія Олександрівна</t>
  </si>
  <si>
    <t>№ 27/ХМЦ від 20.09.17</t>
  </si>
  <si>
    <t>№ 29/ХМЦ  від 26.09.2017</t>
  </si>
  <si>
    <t>№25/ХМЦ від 05.09.2017</t>
  </si>
  <si>
    <t xml:space="preserve">№    від  </t>
  </si>
  <si>
    <t>№ 16 від</t>
  </si>
  <si>
    <t>Володимир Бондар і партнери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</si>
</sst>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b/>
      <u/>
      <sz val="11"/>
      <color rgb="FF000000"/>
      <name val="Calibri"/>
      <family val="2"/>
      <charset val="204"/>
    </font>
    <font>
      <sz val="8"/>
      <color rgb="FF000000"/>
      <name val="Calibri"/>
      <family val="2"/>
      <charset val="1"/>
    </font>
    <font>
      <b/>
      <sz val="10"/>
      <color rgb="FF000000"/>
      <name val="Calibri"/>
      <family val="2"/>
      <charset val="204"/>
    </font>
    <font>
      <i/>
      <sz val="10"/>
      <color rgb="FF000000"/>
      <name val="Calibri"/>
      <family val="2"/>
      <charset val="204"/>
    </font>
    <font>
      <b/>
      <sz val="1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1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4" fillId="0" borderId="0"/>
    <xf numFmtId="0" fontId="11" fillId="0" borderId="0"/>
  </cellStyleXfs>
  <cellXfs count="5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2" fontId="2" fillId="0" borderId="1" xfId="1" applyNumberFormat="1" applyFont="1" applyFill="1" applyBorder="1" applyAlignment="1">
      <alignment horizontal="center" vertical="center" wrapText="1"/>
    </xf>
    <xf numFmtId="2" fontId="4" fillId="0" borderId="0" xfId="1" applyNumberFormat="1" applyFill="1"/>
    <xf numFmtId="0" fontId="4" fillId="0" borderId="0" xfId="1" applyFill="1"/>
    <xf numFmtId="0" fontId="2" fillId="0" borderId="0" xfId="1" applyFont="1" applyFill="1" applyAlignment="1">
      <alignment horizontal="center" vertical="top" wrapText="1"/>
    </xf>
    <xf numFmtId="0" fontId="2" fillId="0" borderId="0" xfId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4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4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2" fontId="9" fillId="0" borderId="1" xfId="1" applyNumberFormat="1" applyFont="1" applyFill="1" applyBorder="1" applyAlignment="1">
      <alignment horizontal="center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0" fillId="0" borderId="1" xfId="0" applyFill="1" applyBorder="1"/>
    <xf numFmtId="2" fontId="4" fillId="0" borderId="1" xfId="1" applyNumberFormat="1" applyFill="1" applyBorder="1"/>
    <xf numFmtId="2" fontId="2" fillId="0" borderId="1" xfId="1" applyNumberFormat="1" applyFont="1" applyFill="1" applyBorder="1" applyAlignment="1">
      <alignment horizontal="center"/>
    </xf>
    <xf numFmtId="0" fontId="4" fillId="0" borderId="0" xfId="1" applyFill="1" applyBorder="1"/>
    <xf numFmtId="0" fontId="13" fillId="0" borderId="7" xfId="2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top" wrapText="1"/>
    </xf>
    <xf numFmtId="0" fontId="2" fillId="0" borderId="5" xfId="1" applyFont="1" applyFill="1" applyBorder="1" applyAlignment="1">
      <alignment horizontal="left" vertical="top" wrapText="1"/>
    </xf>
    <xf numFmtId="0" fontId="3" fillId="0" borderId="5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2" fontId="2" fillId="0" borderId="5" xfId="1" applyNumberFormat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left" vertical="top" wrapText="1"/>
    </xf>
    <xf numFmtId="0" fontId="8" fillId="0" borderId="3" xfId="1" applyFont="1" applyFill="1" applyBorder="1" applyAlignment="1">
      <alignment horizontal="center" vertical="top" wrapText="1"/>
    </xf>
    <xf numFmtId="0" fontId="8" fillId="0" borderId="3" xfId="1" applyFont="1" applyFill="1" applyBorder="1" applyAlignment="1">
      <alignment horizontal="left" vertical="top" wrapText="1"/>
    </xf>
    <xf numFmtId="2" fontId="8" fillId="0" borderId="3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right" vertical="top" wrapText="1"/>
    </xf>
  </cellXfs>
  <cellStyles count="3">
    <cellStyle name="Звичайний 2" xfId="1"/>
    <cellStyle name="Звичайний 3" xfId="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3"/>
  <sheetViews>
    <sheetView tabSelected="1" topLeftCell="A2" zoomScale="79" zoomScaleNormal="79" workbookViewId="0">
      <selection activeCell="G174" sqref="G174"/>
    </sheetView>
  </sheetViews>
  <sheetFormatPr defaultColWidth="9" defaultRowHeight="15" x14ac:dyDescent="0.25"/>
  <cols>
    <col min="1" max="1" width="4" style="11" customWidth="1"/>
    <col min="2" max="2" width="31.85546875" style="11" customWidth="1"/>
    <col min="3" max="3" width="13.7109375" style="11" customWidth="1"/>
    <col min="4" max="4" width="18" style="11" customWidth="1"/>
    <col min="5" max="5" width="16.28515625" style="11" customWidth="1"/>
    <col min="6" max="6" width="23.7109375" style="11" customWidth="1"/>
    <col min="7" max="7" width="27.7109375" style="11" customWidth="1"/>
    <col min="8" max="8" width="18" style="11" customWidth="1"/>
    <col min="9" max="9" width="13.85546875" style="11" customWidth="1"/>
    <col min="10" max="11" width="12.85546875" style="11" customWidth="1"/>
    <col min="12" max="12" width="11.7109375" style="11" customWidth="1"/>
    <col min="13" max="13" width="12.140625" style="11" customWidth="1"/>
    <col min="14" max="14" width="11.28515625" style="11" customWidth="1"/>
    <col min="15" max="15" width="11.85546875" style="11" customWidth="1"/>
    <col min="16" max="16" width="11" style="11" customWidth="1"/>
    <col min="17" max="17" width="11.28515625" style="11" customWidth="1"/>
    <col min="18" max="18" width="14.28515625" style="11" customWidth="1"/>
    <col min="19" max="16384" width="9" style="11"/>
  </cols>
  <sheetData>
    <row r="1" spans="1:18" ht="101.25" hidden="1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 t="s">
        <v>17</v>
      </c>
      <c r="P1" s="13"/>
      <c r="Q1" s="13"/>
    </row>
    <row r="2" spans="1:18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8" ht="15" customHeight="1" x14ac:dyDescent="0.25">
      <c r="A3" s="14" t="s">
        <v>150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8" x14ac:dyDescent="0.25">
      <c r="A4" s="15" t="s">
        <v>15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8" ht="13.9" customHeight="1" x14ac:dyDescent="0.25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8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8" ht="59.45" customHeight="1" x14ac:dyDescent="0.25">
      <c r="A7" s="17" t="s">
        <v>0</v>
      </c>
      <c r="B7" s="18" t="s">
        <v>10</v>
      </c>
      <c r="C7" s="18"/>
      <c r="D7" s="18"/>
      <c r="E7" s="18"/>
      <c r="F7" s="18"/>
      <c r="G7" s="18"/>
      <c r="H7" s="19" t="s">
        <v>16</v>
      </c>
      <c r="I7" s="19"/>
      <c r="J7" s="19"/>
      <c r="K7" s="19"/>
      <c r="L7" s="19"/>
      <c r="M7" s="19"/>
      <c r="N7" s="18" t="s">
        <v>18</v>
      </c>
      <c r="O7" s="18"/>
      <c r="P7" s="18"/>
      <c r="Q7" s="18"/>
    </row>
    <row r="8" spans="1:18" ht="126.6" customHeight="1" x14ac:dyDescent="0.25">
      <c r="A8" s="20"/>
      <c r="B8" s="21" t="s">
        <v>4</v>
      </c>
      <c r="C8" s="21" t="s">
        <v>1</v>
      </c>
      <c r="D8" s="21" t="s">
        <v>3</v>
      </c>
      <c r="E8" s="21" t="s">
        <v>2</v>
      </c>
      <c r="F8" s="21" t="s">
        <v>6</v>
      </c>
      <c r="G8" s="21" t="s">
        <v>5</v>
      </c>
      <c r="H8" s="6" t="s">
        <v>7</v>
      </c>
      <c r="I8" s="22" t="s">
        <v>8</v>
      </c>
      <c r="J8" s="22" t="s">
        <v>9</v>
      </c>
      <c r="K8" s="22" t="s">
        <v>11</v>
      </c>
      <c r="L8" s="22" t="s">
        <v>12</v>
      </c>
      <c r="M8" s="22" t="s">
        <v>13</v>
      </c>
      <c r="N8" s="22" t="s">
        <v>9</v>
      </c>
      <c r="O8" s="22" t="s">
        <v>11</v>
      </c>
      <c r="P8" s="22" t="s">
        <v>12</v>
      </c>
      <c r="Q8" s="6" t="s">
        <v>13</v>
      </c>
    </row>
    <row r="9" spans="1:18" ht="15" customHeight="1" x14ac:dyDescent="0.25">
      <c r="A9" s="23">
        <v>1</v>
      </c>
      <c r="B9" s="23">
        <f t="shared" ref="B9:Q9" si="0">A9+1</f>
        <v>2</v>
      </c>
      <c r="C9" s="23">
        <f t="shared" si="0"/>
        <v>3</v>
      </c>
      <c r="D9" s="23">
        <f t="shared" si="0"/>
        <v>4</v>
      </c>
      <c r="E9" s="23">
        <f t="shared" si="0"/>
        <v>5</v>
      </c>
      <c r="F9" s="23">
        <f t="shared" si="0"/>
        <v>6</v>
      </c>
      <c r="G9" s="23">
        <f t="shared" si="0"/>
        <v>7</v>
      </c>
      <c r="H9" s="23">
        <f t="shared" si="0"/>
        <v>8</v>
      </c>
      <c r="I9" s="23">
        <f t="shared" si="0"/>
        <v>9</v>
      </c>
      <c r="J9" s="23">
        <f t="shared" si="0"/>
        <v>10</v>
      </c>
      <c r="K9" s="23">
        <f t="shared" si="0"/>
        <v>11</v>
      </c>
      <c r="L9" s="23">
        <f t="shared" si="0"/>
        <v>12</v>
      </c>
      <c r="M9" s="23">
        <f t="shared" si="0"/>
        <v>13</v>
      </c>
      <c r="N9" s="23">
        <f t="shared" si="0"/>
        <v>14</v>
      </c>
      <c r="O9" s="23">
        <f t="shared" si="0"/>
        <v>15</v>
      </c>
      <c r="P9" s="23">
        <f t="shared" si="0"/>
        <v>16</v>
      </c>
      <c r="Q9" s="23">
        <f t="shared" si="0"/>
        <v>17</v>
      </c>
    </row>
    <row r="10" spans="1:18" ht="15" customHeight="1" x14ac:dyDescent="0.25">
      <c r="A10" s="23">
        <v>1</v>
      </c>
      <c r="B10" s="5" t="s">
        <v>19</v>
      </c>
      <c r="C10" s="6" t="s">
        <v>20</v>
      </c>
      <c r="D10" s="5"/>
      <c r="E10" s="5" t="s">
        <v>106</v>
      </c>
      <c r="F10" s="5" t="s">
        <v>125</v>
      </c>
      <c r="G10" s="5" t="s">
        <v>144</v>
      </c>
      <c r="H10" s="24">
        <v>0</v>
      </c>
      <c r="I10" s="1"/>
      <c r="J10" s="8"/>
      <c r="K10" s="9">
        <f>L10+M10</f>
        <v>0</v>
      </c>
      <c r="L10" s="25"/>
      <c r="M10" s="25"/>
      <c r="N10" s="1">
        <v>5</v>
      </c>
      <c r="O10" s="9">
        <f t="shared" ref="O10:O83" si="1">P10+Q10</f>
        <v>3111.4</v>
      </c>
      <c r="P10" s="26">
        <f>1680+1431.4</f>
        <v>3111.4</v>
      </c>
      <c r="Q10" s="25"/>
      <c r="R10" s="10"/>
    </row>
    <row r="11" spans="1:18" ht="15" customHeight="1" x14ac:dyDescent="0.25">
      <c r="A11" s="6"/>
      <c r="B11" s="5" t="s">
        <v>19</v>
      </c>
      <c r="C11" s="6" t="s">
        <v>20</v>
      </c>
      <c r="D11" s="5"/>
      <c r="E11" s="5" t="s">
        <v>106</v>
      </c>
      <c r="F11" s="5" t="s">
        <v>235</v>
      </c>
      <c r="G11" s="5" t="s">
        <v>124</v>
      </c>
      <c r="H11" s="7">
        <v>46</v>
      </c>
      <c r="I11" s="1">
        <v>22</v>
      </c>
      <c r="J11" s="8">
        <v>24</v>
      </c>
      <c r="K11" s="9">
        <f t="shared" ref="K11:K76" si="2">L11+M11</f>
        <v>25800.3</v>
      </c>
      <c r="L11" s="9">
        <v>25800.3</v>
      </c>
      <c r="M11" s="9"/>
      <c r="N11" s="1"/>
      <c r="O11" s="9">
        <f t="shared" si="1"/>
        <v>0</v>
      </c>
      <c r="P11" s="9">
        <v>0</v>
      </c>
      <c r="Q11" s="9"/>
      <c r="R11" s="10"/>
    </row>
    <row r="12" spans="1:18" ht="15" customHeight="1" x14ac:dyDescent="0.25">
      <c r="A12" s="6">
        <v>2</v>
      </c>
      <c r="B12" s="5" t="s">
        <v>22</v>
      </c>
      <c r="C12" s="6" t="s">
        <v>20</v>
      </c>
      <c r="D12" s="5"/>
      <c r="E12" s="5" t="s">
        <v>23</v>
      </c>
      <c r="F12" s="5" t="s">
        <v>151</v>
      </c>
      <c r="G12" s="5" t="s">
        <v>144</v>
      </c>
      <c r="H12" s="7">
        <v>41</v>
      </c>
      <c r="I12" s="1">
        <v>32</v>
      </c>
      <c r="J12" s="8">
        <v>43</v>
      </c>
      <c r="K12" s="9">
        <f t="shared" si="2"/>
        <v>28016.62</v>
      </c>
      <c r="L12" s="9">
        <f>19459.01+7034.24+1523.37</f>
        <v>28016.62</v>
      </c>
      <c r="M12" s="9"/>
      <c r="N12" s="1">
        <v>20</v>
      </c>
      <c r="O12" s="9">
        <f t="shared" si="1"/>
        <v>21858.78</v>
      </c>
      <c r="P12" s="9">
        <f>17896.77+1219.53+2742.48</f>
        <v>21858.78</v>
      </c>
      <c r="Q12" s="9"/>
      <c r="R12" s="10"/>
    </row>
    <row r="13" spans="1:18" ht="15" customHeight="1" x14ac:dyDescent="0.25">
      <c r="A13" s="6"/>
      <c r="B13" s="5" t="s">
        <v>137</v>
      </c>
      <c r="C13" s="6" t="s">
        <v>20</v>
      </c>
      <c r="D13" s="5"/>
      <c r="E13" s="5" t="s">
        <v>23</v>
      </c>
      <c r="F13" s="5" t="s">
        <v>214</v>
      </c>
      <c r="G13" s="5" t="s">
        <v>138</v>
      </c>
      <c r="H13" s="7">
        <v>16</v>
      </c>
      <c r="I13" s="2">
        <v>4</v>
      </c>
      <c r="J13" s="8">
        <v>4</v>
      </c>
      <c r="K13" s="9">
        <f t="shared" si="2"/>
        <v>2749.2</v>
      </c>
      <c r="L13" s="9">
        <v>2749.2</v>
      </c>
      <c r="M13" s="9"/>
      <c r="N13" s="2"/>
      <c r="O13" s="9">
        <f t="shared" si="1"/>
        <v>0</v>
      </c>
      <c r="P13" s="9">
        <v>0</v>
      </c>
      <c r="Q13" s="9"/>
      <c r="R13" s="10"/>
    </row>
    <row r="14" spans="1:18" ht="15" customHeight="1" x14ac:dyDescent="0.25">
      <c r="A14" s="6">
        <v>3</v>
      </c>
      <c r="B14" s="5" t="s">
        <v>24</v>
      </c>
      <c r="C14" s="6" t="s">
        <v>20</v>
      </c>
      <c r="D14" s="5"/>
      <c r="E14" s="5" t="s">
        <v>23</v>
      </c>
      <c r="F14" s="5" t="s">
        <v>243</v>
      </c>
      <c r="G14" s="5" t="s">
        <v>144</v>
      </c>
      <c r="H14" s="7">
        <v>43</v>
      </c>
      <c r="I14" s="1">
        <v>38</v>
      </c>
      <c r="J14" s="8">
        <v>58</v>
      </c>
      <c r="K14" s="9">
        <f t="shared" si="2"/>
        <v>49441.08</v>
      </c>
      <c r="L14" s="9">
        <f>27752.15+21688.93</f>
        <v>49441.08</v>
      </c>
      <c r="M14" s="9"/>
      <c r="N14" s="1">
        <v>31</v>
      </c>
      <c r="O14" s="9">
        <f t="shared" si="1"/>
        <v>42209.04</v>
      </c>
      <c r="P14" s="9">
        <v>42209.04</v>
      </c>
      <c r="Q14" s="9"/>
      <c r="R14" s="10"/>
    </row>
    <row r="15" spans="1:18" ht="15" customHeight="1" x14ac:dyDescent="0.25">
      <c r="A15" s="6"/>
      <c r="B15" s="5" t="s">
        <v>139</v>
      </c>
      <c r="C15" s="6" t="s">
        <v>20</v>
      </c>
      <c r="D15" s="5"/>
      <c r="E15" s="5" t="s">
        <v>23</v>
      </c>
      <c r="F15" s="5" t="s">
        <v>215</v>
      </c>
      <c r="G15" s="5" t="s">
        <v>138</v>
      </c>
      <c r="H15" s="7">
        <v>44</v>
      </c>
      <c r="I15" s="2">
        <v>23</v>
      </c>
      <c r="J15" s="8">
        <v>23</v>
      </c>
      <c r="K15" s="9">
        <f t="shared" si="2"/>
        <v>13949</v>
      </c>
      <c r="L15" s="9">
        <v>13949</v>
      </c>
      <c r="M15" s="9"/>
      <c r="N15" s="2"/>
      <c r="O15" s="9">
        <f t="shared" si="1"/>
        <v>0</v>
      </c>
      <c r="P15" s="9">
        <v>0</v>
      </c>
      <c r="Q15" s="9"/>
      <c r="R15" s="10"/>
    </row>
    <row r="16" spans="1:18" ht="15" customHeight="1" x14ac:dyDescent="0.25">
      <c r="A16" s="6">
        <v>4</v>
      </c>
      <c r="B16" s="5" t="s">
        <v>25</v>
      </c>
      <c r="C16" s="6" t="s">
        <v>20</v>
      </c>
      <c r="D16" s="5"/>
      <c r="E16" s="5" t="s">
        <v>26</v>
      </c>
      <c r="F16" s="5" t="s">
        <v>244</v>
      </c>
      <c r="G16" s="5" t="s">
        <v>144</v>
      </c>
      <c r="H16" s="7">
        <v>60</v>
      </c>
      <c r="I16" s="1">
        <v>50</v>
      </c>
      <c r="J16" s="8">
        <v>56</v>
      </c>
      <c r="K16" s="9">
        <f t="shared" si="2"/>
        <v>25792.080000000002</v>
      </c>
      <c r="L16" s="9">
        <f>10664.29+6039.86+9087.93</f>
        <v>25792.080000000002</v>
      </c>
      <c r="M16" s="9"/>
      <c r="N16" s="1">
        <v>42</v>
      </c>
      <c r="O16" s="9">
        <f t="shared" si="1"/>
        <v>53566.759999999995</v>
      </c>
      <c r="P16" s="9">
        <f>29828.84+4917+2291.64+16529.28</f>
        <v>53566.759999999995</v>
      </c>
      <c r="Q16" s="9"/>
      <c r="R16" s="10"/>
    </row>
    <row r="17" spans="1:18" ht="15" customHeight="1" x14ac:dyDescent="0.25">
      <c r="A17" s="6"/>
      <c r="B17" s="5" t="s">
        <v>25</v>
      </c>
      <c r="C17" s="6" t="s">
        <v>20</v>
      </c>
      <c r="D17" s="5"/>
      <c r="E17" s="5" t="s">
        <v>131</v>
      </c>
      <c r="F17" s="5" t="s">
        <v>132</v>
      </c>
      <c r="G17" s="5" t="s">
        <v>133</v>
      </c>
      <c r="H17" s="7">
        <v>0</v>
      </c>
      <c r="I17" s="1"/>
      <c r="J17" s="8"/>
      <c r="K17" s="9">
        <f t="shared" si="2"/>
        <v>0</v>
      </c>
      <c r="L17" s="9"/>
      <c r="M17" s="9"/>
      <c r="N17" s="1"/>
      <c r="O17" s="9">
        <f t="shared" si="1"/>
        <v>0</v>
      </c>
      <c r="P17" s="9">
        <v>0</v>
      </c>
      <c r="Q17" s="9"/>
      <c r="R17" s="10"/>
    </row>
    <row r="18" spans="1:18" ht="15" customHeight="1" x14ac:dyDescent="0.25">
      <c r="A18" s="6">
        <v>5</v>
      </c>
      <c r="B18" s="5" t="s">
        <v>277</v>
      </c>
      <c r="C18" s="6" t="s">
        <v>20</v>
      </c>
      <c r="D18" s="5"/>
      <c r="E18" s="5" t="s">
        <v>21</v>
      </c>
      <c r="F18" s="5" t="s">
        <v>125</v>
      </c>
      <c r="G18" s="5" t="s">
        <v>144</v>
      </c>
      <c r="H18" s="7">
        <v>0</v>
      </c>
      <c r="I18" s="1"/>
      <c r="J18" s="8"/>
      <c r="K18" s="9">
        <f t="shared" si="2"/>
        <v>0</v>
      </c>
      <c r="L18" s="9"/>
      <c r="M18" s="9"/>
      <c r="N18" s="1">
        <v>1</v>
      </c>
      <c r="O18" s="9">
        <f t="shared" si="1"/>
        <v>6798.95</v>
      </c>
      <c r="P18" s="9">
        <v>6798.95</v>
      </c>
      <c r="Q18" s="9"/>
      <c r="R18" s="10"/>
    </row>
    <row r="19" spans="1:18" ht="15" customHeight="1" x14ac:dyDescent="0.25">
      <c r="A19" s="6">
        <v>6</v>
      </c>
      <c r="B19" s="5" t="s">
        <v>27</v>
      </c>
      <c r="C19" s="6" t="s">
        <v>20</v>
      </c>
      <c r="D19" s="5"/>
      <c r="E19" s="5" t="s">
        <v>21</v>
      </c>
      <c r="F19" s="5" t="s">
        <v>152</v>
      </c>
      <c r="G19" s="5" t="s">
        <v>144</v>
      </c>
      <c r="H19" s="7">
        <v>19</v>
      </c>
      <c r="I19" s="1">
        <v>6</v>
      </c>
      <c r="J19" s="8">
        <v>6</v>
      </c>
      <c r="K19" s="9">
        <f t="shared" si="2"/>
        <v>6088.36</v>
      </c>
      <c r="L19" s="9">
        <f>1524.08+4564.28</f>
        <v>6088.36</v>
      </c>
      <c r="M19" s="9"/>
      <c r="N19" s="1">
        <v>6</v>
      </c>
      <c r="O19" s="9">
        <f t="shared" si="1"/>
        <v>429.44</v>
      </c>
      <c r="P19" s="9">
        <v>429.44</v>
      </c>
      <c r="Q19" s="9"/>
      <c r="R19" s="10"/>
    </row>
    <row r="20" spans="1:18" ht="15" customHeight="1" x14ac:dyDescent="0.25">
      <c r="A20" s="6">
        <v>7</v>
      </c>
      <c r="B20" s="5" t="s">
        <v>28</v>
      </c>
      <c r="C20" s="6" t="s">
        <v>20</v>
      </c>
      <c r="D20" s="5"/>
      <c r="E20" s="5" t="s">
        <v>29</v>
      </c>
      <c r="F20" s="5" t="s">
        <v>153</v>
      </c>
      <c r="G20" s="5" t="s">
        <v>144</v>
      </c>
      <c r="H20" s="7">
        <v>53</v>
      </c>
      <c r="I20" s="1">
        <v>43</v>
      </c>
      <c r="J20" s="8">
        <v>54</v>
      </c>
      <c r="K20" s="9">
        <f t="shared" si="2"/>
        <v>51850.15</v>
      </c>
      <c r="L20" s="9">
        <f>34994.35+2814.65+14041.15</f>
        <v>51850.15</v>
      </c>
      <c r="M20" s="9"/>
      <c r="N20" s="1">
        <v>38</v>
      </c>
      <c r="O20" s="9">
        <f t="shared" si="1"/>
        <v>86704.19</v>
      </c>
      <c r="P20" s="9">
        <f>68758.71+1345.4+16600.08</f>
        <v>86704.19</v>
      </c>
      <c r="Q20" s="9"/>
      <c r="R20" s="10"/>
    </row>
    <row r="21" spans="1:18" ht="15" customHeight="1" x14ac:dyDescent="0.25">
      <c r="A21" s="6"/>
      <c r="B21" s="5" t="s">
        <v>127</v>
      </c>
      <c r="C21" s="6" t="s">
        <v>20</v>
      </c>
      <c r="D21" s="5"/>
      <c r="E21" s="5" t="s">
        <v>29</v>
      </c>
      <c r="F21" s="5" t="s">
        <v>216</v>
      </c>
      <c r="G21" s="5" t="s">
        <v>138</v>
      </c>
      <c r="H21" s="7">
        <v>6</v>
      </c>
      <c r="I21" s="2">
        <v>1</v>
      </c>
      <c r="J21" s="8">
        <v>1</v>
      </c>
      <c r="K21" s="9">
        <f t="shared" si="2"/>
        <v>926.2</v>
      </c>
      <c r="L21" s="9">
        <v>926.2</v>
      </c>
      <c r="M21" s="9"/>
      <c r="N21" s="2"/>
      <c r="O21" s="9">
        <f t="shared" si="1"/>
        <v>0</v>
      </c>
      <c r="P21" s="9">
        <v>0</v>
      </c>
      <c r="Q21" s="9"/>
      <c r="R21" s="10"/>
    </row>
    <row r="22" spans="1:18" ht="15" customHeight="1" x14ac:dyDescent="0.25">
      <c r="A22" s="6"/>
      <c r="B22" s="5" t="s">
        <v>127</v>
      </c>
      <c r="C22" s="6" t="s">
        <v>20</v>
      </c>
      <c r="D22" s="5"/>
      <c r="E22" s="5" t="s">
        <v>29</v>
      </c>
      <c r="F22" s="5" t="s">
        <v>240</v>
      </c>
      <c r="G22" s="5" t="s">
        <v>126</v>
      </c>
      <c r="H22" s="7">
        <v>44</v>
      </c>
      <c r="I22" s="2">
        <v>27</v>
      </c>
      <c r="J22" s="8">
        <v>27</v>
      </c>
      <c r="K22" s="9">
        <f t="shared" si="2"/>
        <v>21309.369999999995</v>
      </c>
      <c r="L22" s="9">
        <v>21309.369999999995</v>
      </c>
      <c r="M22" s="9"/>
      <c r="N22" s="2"/>
      <c r="O22" s="9">
        <f t="shared" si="1"/>
        <v>0</v>
      </c>
      <c r="P22" s="9">
        <v>0</v>
      </c>
      <c r="Q22" s="9"/>
      <c r="R22" s="10"/>
    </row>
    <row r="23" spans="1:18" ht="15" customHeight="1" x14ac:dyDescent="0.25">
      <c r="A23" s="6">
        <v>8</v>
      </c>
      <c r="B23" s="5" t="s">
        <v>30</v>
      </c>
      <c r="C23" s="6" t="s">
        <v>20</v>
      </c>
      <c r="D23" s="5"/>
      <c r="E23" s="5" t="s">
        <v>21</v>
      </c>
      <c r="F23" s="5" t="s">
        <v>154</v>
      </c>
      <c r="G23" s="5" t="s">
        <v>144</v>
      </c>
      <c r="H23" s="7">
        <v>21</v>
      </c>
      <c r="I23" s="2">
        <v>18</v>
      </c>
      <c r="J23" s="8">
        <v>19</v>
      </c>
      <c r="K23" s="9">
        <f t="shared" si="2"/>
        <v>13069.16</v>
      </c>
      <c r="L23" s="9">
        <f>8949.25+4119.91</f>
        <v>13069.16</v>
      </c>
      <c r="M23" s="9"/>
      <c r="N23" s="2">
        <v>31</v>
      </c>
      <c r="O23" s="9">
        <f t="shared" si="1"/>
        <v>15207.76</v>
      </c>
      <c r="P23" s="9">
        <f>14012.31+1195.45</f>
        <v>15207.76</v>
      </c>
      <c r="Q23" s="9"/>
      <c r="R23" s="10"/>
    </row>
    <row r="24" spans="1:18" ht="15" customHeight="1" x14ac:dyDescent="0.25">
      <c r="A24" s="6"/>
      <c r="B24" s="5" t="s">
        <v>30</v>
      </c>
      <c r="C24" s="6" t="s">
        <v>20</v>
      </c>
      <c r="D24" s="5"/>
      <c r="E24" s="5" t="s">
        <v>134</v>
      </c>
      <c r="F24" s="5" t="s">
        <v>243</v>
      </c>
      <c r="G24" s="5" t="s">
        <v>133</v>
      </c>
      <c r="H24" s="7">
        <v>20</v>
      </c>
      <c r="I24" s="1">
        <v>5</v>
      </c>
      <c r="J24" s="8">
        <v>5</v>
      </c>
      <c r="K24" s="9">
        <f t="shared" si="2"/>
        <v>817.8</v>
      </c>
      <c r="L24" s="9">
        <v>817.8</v>
      </c>
      <c r="M24" s="9"/>
      <c r="N24" s="1"/>
      <c r="O24" s="9">
        <f t="shared" si="1"/>
        <v>0</v>
      </c>
      <c r="P24" s="9">
        <v>0</v>
      </c>
      <c r="Q24" s="9"/>
      <c r="R24" s="10"/>
    </row>
    <row r="25" spans="1:18" ht="15" customHeight="1" x14ac:dyDescent="0.25">
      <c r="A25" s="6"/>
      <c r="B25" s="5" t="s">
        <v>30</v>
      </c>
      <c r="C25" s="6" t="s">
        <v>20</v>
      </c>
      <c r="D25" s="5"/>
      <c r="E25" s="5" t="s">
        <v>21</v>
      </c>
      <c r="F25" s="5" t="s">
        <v>122</v>
      </c>
      <c r="G25" s="5" t="s">
        <v>124</v>
      </c>
      <c r="H25" s="7">
        <v>0</v>
      </c>
      <c r="I25" s="1"/>
      <c r="J25" s="8"/>
      <c r="K25" s="9">
        <f t="shared" si="2"/>
        <v>0</v>
      </c>
      <c r="L25" s="9"/>
      <c r="M25" s="9"/>
      <c r="N25" s="1"/>
      <c r="O25" s="9">
        <f t="shared" si="1"/>
        <v>0</v>
      </c>
      <c r="P25" s="9">
        <v>0</v>
      </c>
      <c r="Q25" s="9"/>
      <c r="R25" s="10"/>
    </row>
    <row r="26" spans="1:18" ht="29.25" customHeight="1" x14ac:dyDescent="0.25">
      <c r="A26" s="27">
        <v>9</v>
      </c>
      <c r="B26" s="28" t="s">
        <v>31</v>
      </c>
      <c r="C26" s="27" t="s">
        <v>32</v>
      </c>
      <c r="D26" s="28" t="s">
        <v>33</v>
      </c>
      <c r="E26" s="28" t="s">
        <v>34</v>
      </c>
      <c r="F26" s="28" t="s">
        <v>155</v>
      </c>
      <c r="G26" s="28" t="s">
        <v>144</v>
      </c>
      <c r="H26" s="7">
        <v>8</v>
      </c>
      <c r="I26" s="1">
        <v>6</v>
      </c>
      <c r="J26" s="29">
        <v>7</v>
      </c>
      <c r="K26" s="9">
        <f t="shared" si="2"/>
        <v>6983.7999999999993</v>
      </c>
      <c r="L26" s="9">
        <f>5714.48+1269.32</f>
        <v>6983.7999999999993</v>
      </c>
      <c r="M26" s="9"/>
      <c r="N26" s="1">
        <v>1</v>
      </c>
      <c r="O26" s="9">
        <f t="shared" si="1"/>
        <v>2592.46</v>
      </c>
      <c r="P26" s="9">
        <v>2592.46</v>
      </c>
      <c r="Q26" s="9"/>
      <c r="R26" s="10"/>
    </row>
    <row r="27" spans="1:18" ht="27.6" customHeight="1" x14ac:dyDescent="0.25">
      <c r="A27" s="6">
        <v>10</v>
      </c>
      <c r="B27" s="5" t="s">
        <v>35</v>
      </c>
      <c r="C27" s="6" t="s">
        <v>54</v>
      </c>
      <c r="D27" s="5" t="s">
        <v>290</v>
      </c>
      <c r="E27" s="5" t="s">
        <v>36</v>
      </c>
      <c r="F27" s="5" t="s">
        <v>145</v>
      </c>
      <c r="G27" s="5" t="s">
        <v>144</v>
      </c>
      <c r="H27" s="7">
        <v>9</v>
      </c>
      <c r="I27" s="1">
        <v>5</v>
      </c>
      <c r="J27" s="29">
        <v>5</v>
      </c>
      <c r="K27" s="9">
        <f t="shared" si="2"/>
        <v>1778.61</v>
      </c>
      <c r="L27" s="9">
        <v>1778.61</v>
      </c>
      <c r="M27" s="9"/>
      <c r="N27" s="1">
        <v>2</v>
      </c>
      <c r="O27" s="9">
        <f t="shared" si="1"/>
        <v>5083.4399999999996</v>
      </c>
      <c r="P27" s="9">
        <v>5083.4399999999996</v>
      </c>
      <c r="Q27" s="9"/>
      <c r="R27" s="10"/>
    </row>
    <row r="28" spans="1:18" ht="28.15" customHeight="1" x14ac:dyDescent="0.25">
      <c r="A28" s="6"/>
      <c r="B28" s="5" t="s">
        <v>35</v>
      </c>
      <c r="C28" s="6" t="s">
        <v>54</v>
      </c>
      <c r="D28" s="5" t="s">
        <v>290</v>
      </c>
      <c r="E28" s="5" t="s">
        <v>36</v>
      </c>
      <c r="F28" s="5" t="s">
        <v>281</v>
      </c>
      <c r="G28" s="5" t="s">
        <v>138</v>
      </c>
      <c r="H28" s="7">
        <v>3</v>
      </c>
      <c r="I28" s="1"/>
      <c r="J28" s="8"/>
      <c r="K28" s="9"/>
      <c r="L28" s="9"/>
      <c r="M28" s="9"/>
      <c r="N28" s="1"/>
      <c r="O28" s="9"/>
      <c r="P28" s="9"/>
      <c r="Q28" s="9"/>
      <c r="R28" s="10"/>
    </row>
    <row r="29" spans="1:18" ht="15" customHeight="1" x14ac:dyDescent="0.25">
      <c r="A29" s="6">
        <v>11</v>
      </c>
      <c r="B29" s="5" t="s">
        <v>37</v>
      </c>
      <c r="C29" s="6" t="s">
        <v>20</v>
      </c>
      <c r="D29" s="5"/>
      <c r="E29" s="5" t="s">
        <v>38</v>
      </c>
      <c r="F29" s="5" t="s">
        <v>156</v>
      </c>
      <c r="G29" s="5" t="s">
        <v>144</v>
      </c>
      <c r="H29" s="7">
        <v>36</v>
      </c>
      <c r="I29" s="1">
        <v>23</v>
      </c>
      <c r="J29" s="8">
        <v>27</v>
      </c>
      <c r="K29" s="9">
        <f t="shared" si="2"/>
        <v>16700.899999999998</v>
      </c>
      <c r="L29" s="9">
        <f>9527.22+5575.98+1597.7</f>
        <v>16700.899999999998</v>
      </c>
      <c r="M29" s="9"/>
      <c r="N29" s="1">
        <v>21</v>
      </c>
      <c r="O29" s="9">
        <f t="shared" si="1"/>
        <v>31132.92</v>
      </c>
      <c r="P29" s="9">
        <f>22415.14+7565.78+1152</f>
        <v>31132.92</v>
      </c>
      <c r="Q29" s="9"/>
      <c r="R29" s="10"/>
    </row>
    <row r="30" spans="1:18" ht="15" customHeight="1" x14ac:dyDescent="0.25">
      <c r="A30" s="6"/>
      <c r="B30" s="5" t="s">
        <v>37</v>
      </c>
      <c r="C30" s="6" t="s">
        <v>20</v>
      </c>
      <c r="D30" s="5"/>
      <c r="E30" s="5"/>
      <c r="F30" s="5" t="s">
        <v>250</v>
      </c>
      <c r="G30" s="5" t="s">
        <v>126</v>
      </c>
      <c r="H30" s="7">
        <v>7</v>
      </c>
      <c r="I30" s="2">
        <v>4</v>
      </c>
      <c r="J30" s="8">
        <v>4</v>
      </c>
      <c r="K30" s="9">
        <f t="shared" si="2"/>
        <v>1768.2</v>
      </c>
      <c r="L30" s="9">
        <v>1768.2</v>
      </c>
      <c r="M30" s="9"/>
      <c r="N30" s="2"/>
      <c r="O30" s="9">
        <f t="shared" si="1"/>
        <v>0</v>
      </c>
      <c r="P30" s="9">
        <v>0</v>
      </c>
      <c r="Q30" s="9"/>
      <c r="R30" s="10"/>
    </row>
    <row r="31" spans="1:18" ht="15" customHeight="1" x14ac:dyDescent="0.25">
      <c r="A31" s="6"/>
      <c r="B31" s="5" t="s">
        <v>37</v>
      </c>
      <c r="C31" s="6" t="s">
        <v>20</v>
      </c>
      <c r="D31" s="5"/>
      <c r="E31" s="5" t="s">
        <v>38</v>
      </c>
      <c r="F31" s="5" t="s">
        <v>289</v>
      </c>
      <c r="G31" s="5" t="s">
        <v>138</v>
      </c>
      <c r="H31" s="7">
        <v>13</v>
      </c>
      <c r="I31" s="2"/>
      <c r="J31" s="8"/>
      <c r="K31" s="9">
        <f t="shared" si="2"/>
        <v>0</v>
      </c>
      <c r="L31" s="9"/>
      <c r="M31" s="9"/>
      <c r="N31" s="2"/>
      <c r="O31" s="9">
        <f t="shared" si="1"/>
        <v>0</v>
      </c>
      <c r="P31" s="9">
        <v>0</v>
      </c>
      <c r="Q31" s="9"/>
      <c r="R31" s="10"/>
    </row>
    <row r="32" spans="1:18" ht="15" customHeight="1" x14ac:dyDescent="0.25">
      <c r="A32" s="24">
        <v>12</v>
      </c>
      <c r="B32" s="30" t="s">
        <v>39</v>
      </c>
      <c r="C32" s="24" t="s">
        <v>20</v>
      </c>
      <c r="D32" s="30"/>
      <c r="E32" s="30" t="s">
        <v>40</v>
      </c>
      <c r="F32" s="30" t="s">
        <v>157</v>
      </c>
      <c r="G32" s="30" t="s">
        <v>144</v>
      </c>
      <c r="H32" s="7">
        <v>44</v>
      </c>
      <c r="I32" s="1">
        <v>39</v>
      </c>
      <c r="J32" s="8">
        <v>51</v>
      </c>
      <c r="K32" s="9">
        <f t="shared" si="2"/>
        <v>40464.199999999997</v>
      </c>
      <c r="L32" s="9">
        <f>15515.53+24948.67</f>
        <v>40464.199999999997</v>
      </c>
      <c r="M32" s="9"/>
      <c r="N32" s="1">
        <v>36</v>
      </c>
      <c r="O32" s="9">
        <f t="shared" si="1"/>
        <v>83063.490000000005</v>
      </c>
      <c r="P32" s="9">
        <f>72070.12+7035.97+1178.8+2778.6</f>
        <v>83063.490000000005</v>
      </c>
      <c r="Q32" s="9"/>
      <c r="R32" s="10"/>
    </row>
    <row r="33" spans="1:18" ht="15" customHeight="1" x14ac:dyDescent="0.25">
      <c r="A33" s="6"/>
      <c r="B33" s="5" t="s">
        <v>39</v>
      </c>
      <c r="C33" s="6" t="s">
        <v>20</v>
      </c>
      <c r="D33" s="5"/>
      <c r="E33" s="5"/>
      <c r="F33" s="5" t="s">
        <v>262</v>
      </c>
      <c r="G33" s="5" t="s">
        <v>126</v>
      </c>
      <c r="H33" s="7">
        <v>20</v>
      </c>
      <c r="I33" s="2">
        <v>12</v>
      </c>
      <c r="J33" s="8">
        <v>12</v>
      </c>
      <c r="K33" s="9">
        <f t="shared" si="2"/>
        <v>8414</v>
      </c>
      <c r="L33" s="9">
        <v>8414</v>
      </c>
      <c r="M33" s="9"/>
      <c r="N33" s="2"/>
      <c r="O33" s="9">
        <f t="shared" si="1"/>
        <v>0</v>
      </c>
      <c r="P33" s="9">
        <v>0</v>
      </c>
      <c r="Q33" s="9"/>
      <c r="R33" s="10"/>
    </row>
    <row r="34" spans="1:18" ht="15" customHeight="1" x14ac:dyDescent="0.25">
      <c r="A34" s="6">
        <v>13</v>
      </c>
      <c r="B34" s="5" t="s">
        <v>41</v>
      </c>
      <c r="C34" s="6" t="s">
        <v>20</v>
      </c>
      <c r="D34" s="5"/>
      <c r="E34" s="5" t="s">
        <v>21</v>
      </c>
      <c r="F34" s="5" t="s">
        <v>158</v>
      </c>
      <c r="G34" s="5" t="s">
        <v>144</v>
      </c>
      <c r="H34" s="7">
        <v>19</v>
      </c>
      <c r="I34" s="1">
        <v>15</v>
      </c>
      <c r="J34" s="8">
        <v>15</v>
      </c>
      <c r="K34" s="9">
        <f t="shared" si="2"/>
        <v>8166.59</v>
      </c>
      <c r="L34" s="9">
        <f>5051.22+3115.37</f>
        <v>8166.59</v>
      </c>
      <c r="M34" s="9"/>
      <c r="N34" s="1">
        <v>11</v>
      </c>
      <c r="O34" s="9">
        <f t="shared" si="1"/>
        <v>17084.060000000001</v>
      </c>
      <c r="P34" s="9">
        <v>17084.060000000001</v>
      </c>
      <c r="Q34" s="9"/>
      <c r="R34" s="10"/>
    </row>
    <row r="35" spans="1:18" ht="15.6" customHeight="1" x14ac:dyDescent="0.25">
      <c r="A35" s="6"/>
      <c r="B35" s="5" t="s">
        <v>41</v>
      </c>
      <c r="C35" s="6" t="s">
        <v>20</v>
      </c>
      <c r="D35" s="5"/>
      <c r="E35" s="5" t="s">
        <v>21</v>
      </c>
      <c r="F35" s="5" t="s">
        <v>223</v>
      </c>
      <c r="G35" s="5" t="s">
        <v>124</v>
      </c>
      <c r="H35" s="7">
        <v>28</v>
      </c>
      <c r="I35" s="1">
        <v>6</v>
      </c>
      <c r="J35" s="8">
        <v>7</v>
      </c>
      <c r="K35" s="9">
        <f t="shared" si="2"/>
        <v>4092.12</v>
      </c>
      <c r="L35" s="9">
        <v>4092.12</v>
      </c>
      <c r="M35" s="9"/>
      <c r="N35" s="1"/>
      <c r="O35" s="9">
        <f t="shared" si="1"/>
        <v>0</v>
      </c>
      <c r="P35" s="9">
        <v>0</v>
      </c>
      <c r="Q35" s="9"/>
      <c r="R35" s="10"/>
    </row>
    <row r="36" spans="1:18" ht="15" customHeight="1" x14ac:dyDescent="0.25">
      <c r="A36" s="6">
        <v>14</v>
      </c>
      <c r="B36" s="5" t="s">
        <v>42</v>
      </c>
      <c r="C36" s="6" t="s">
        <v>20</v>
      </c>
      <c r="D36" s="5"/>
      <c r="E36" s="5" t="s">
        <v>43</v>
      </c>
      <c r="F36" s="5" t="s">
        <v>159</v>
      </c>
      <c r="G36" s="5" t="s">
        <v>144</v>
      </c>
      <c r="H36" s="7">
        <v>32</v>
      </c>
      <c r="I36" s="1">
        <v>20</v>
      </c>
      <c r="J36" s="8">
        <v>26</v>
      </c>
      <c r="K36" s="9">
        <f t="shared" si="2"/>
        <v>14434.81</v>
      </c>
      <c r="L36" s="9">
        <f>7618.83+6815.98</f>
        <v>14434.81</v>
      </c>
      <c r="M36" s="9"/>
      <c r="N36" s="1">
        <v>14</v>
      </c>
      <c r="O36" s="9">
        <f t="shared" si="1"/>
        <v>25742.21</v>
      </c>
      <c r="P36" s="9">
        <f>24398.38+1343.83</f>
        <v>25742.21</v>
      </c>
      <c r="Q36" s="9"/>
      <c r="R36" s="10"/>
    </row>
    <row r="37" spans="1:18" ht="15" customHeight="1" x14ac:dyDescent="0.25">
      <c r="A37" s="6"/>
      <c r="B37" s="5" t="s">
        <v>42</v>
      </c>
      <c r="C37" s="6" t="s">
        <v>20</v>
      </c>
      <c r="D37" s="5"/>
      <c r="E37" s="5" t="s">
        <v>43</v>
      </c>
      <c r="F37" s="5" t="s">
        <v>217</v>
      </c>
      <c r="G37" s="5" t="s">
        <v>138</v>
      </c>
      <c r="H37" s="7">
        <v>24</v>
      </c>
      <c r="I37" s="2">
        <v>9</v>
      </c>
      <c r="J37" s="8">
        <v>9</v>
      </c>
      <c r="K37" s="9">
        <f t="shared" si="2"/>
        <v>8420</v>
      </c>
      <c r="L37" s="9">
        <v>8420</v>
      </c>
      <c r="M37" s="9"/>
      <c r="N37" s="2"/>
      <c r="O37" s="9">
        <f t="shared" si="1"/>
        <v>0</v>
      </c>
      <c r="P37" s="9">
        <v>0</v>
      </c>
      <c r="Q37" s="9"/>
      <c r="R37" s="10"/>
    </row>
    <row r="38" spans="1:18" ht="15" customHeight="1" x14ac:dyDescent="0.25">
      <c r="A38" s="24">
        <v>15</v>
      </c>
      <c r="B38" s="30" t="s">
        <v>44</v>
      </c>
      <c r="C38" s="24" t="s">
        <v>20</v>
      </c>
      <c r="D38" s="30"/>
      <c r="E38" s="30" t="s">
        <v>43</v>
      </c>
      <c r="F38" s="30" t="s">
        <v>160</v>
      </c>
      <c r="G38" s="30" t="s">
        <v>144</v>
      </c>
      <c r="H38" s="7">
        <v>38</v>
      </c>
      <c r="I38" s="1">
        <v>29</v>
      </c>
      <c r="J38" s="8">
        <v>32</v>
      </c>
      <c r="K38" s="9">
        <f t="shared" si="2"/>
        <v>33273.57</v>
      </c>
      <c r="L38" s="9">
        <f>14939.12+18334.45</f>
        <v>33273.57</v>
      </c>
      <c r="M38" s="9"/>
      <c r="N38" s="1">
        <v>10</v>
      </c>
      <c r="O38" s="9">
        <f t="shared" si="1"/>
        <v>32730.99</v>
      </c>
      <c r="P38" s="9">
        <f>8533.85+9168.48+15028.66</f>
        <v>32730.99</v>
      </c>
      <c r="Q38" s="9"/>
      <c r="R38" s="10"/>
    </row>
    <row r="39" spans="1:18" ht="15" customHeight="1" x14ac:dyDescent="0.25">
      <c r="A39" s="6"/>
      <c r="B39" s="5" t="s">
        <v>44</v>
      </c>
      <c r="C39" s="6" t="s">
        <v>20</v>
      </c>
      <c r="D39" s="5"/>
      <c r="E39" s="5" t="s">
        <v>43</v>
      </c>
      <c r="F39" s="5" t="s">
        <v>218</v>
      </c>
      <c r="G39" s="5" t="s">
        <v>138</v>
      </c>
      <c r="H39" s="7">
        <v>29</v>
      </c>
      <c r="I39" s="2">
        <v>7</v>
      </c>
      <c r="J39" s="8">
        <v>7</v>
      </c>
      <c r="K39" s="9">
        <f t="shared" si="2"/>
        <v>9264.32</v>
      </c>
      <c r="L39" s="9">
        <v>9264.32</v>
      </c>
      <c r="M39" s="9"/>
      <c r="N39" s="2"/>
      <c r="O39" s="9">
        <f t="shared" si="1"/>
        <v>0</v>
      </c>
      <c r="P39" s="9">
        <v>0</v>
      </c>
      <c r="Q39" s="9"/>
      <c r="R39" s="10"/>
    </row>
    <row r="40" spans="1:18" ht="15" customHeight="1" x14ac:dyDescent="0.25">
      <c r="A40" s="6">
        <v>16</v>
      </c>
      <c r="B40" s="5" t="s">
        <v>45</v>
      </c>
      <c r="C40" s="6" t="s">
        <v>20</v>
      </c>
      <c r="D40" s="5"/>
      <c r="E40" s="5" t="s">
        <v>21</v>
      </c>
      <c r="F40" s="5" t="s">
        <v>161</v>
      </c>
      <c r="G40" s="5" t="s">
        <v>144</v>
      </c>
      <c r="H40" s="7">
        <v>20</v>
      </c>
      <c r="I40" s="1">
        <v>13</v>
      </c>
      <c r="J40" s="8">
        <v>15</v>
      </c>
      <c r="K40" s="9">
        <f t="shared" si="2"/>
        <v>3126.91</v>
      </c>
      <c r="L40" s="9">
        <f>1112+505.2+1509.71</f>
        <v>3126.91</v>
      </c>
      <c r="M40" s="9"/>
      <c r="N40" s="1">
        <v>9</v>
      </c>
      <c r="O40" s="9">
        <f t="shared" si="1"/>
        <v>10733.52</v>
      </c>
      <c r="P40" s="9">
        <f>9442.73+1290.79</f>
        <v>10733.52</v>
      </c>
      <c r="Q40" s="9"/>
      <c r="R40" s="10"/>
    </row>
    <row r="41" spans="1:18" ht="15" customHeight="1" x14ac:dyDescent="0.25">
      <c r="A41" s="6"/>
      <c r="B41" s="5" t="s">
        <v>45</v>
      </c>
      <c r="C41" s="6" t="s">
        <v>20</v>
      </c>
      <c r="D41" s="5"/>
      <c r="E41" s="5" t="s">
        <v>21</v>
      </c>
      <c r="F41" s="5" t="s">
        <v>224</v>
      </c>
      <c r="G41" s="5" t="s">
        <v>124</v>
      </c>
      <c r="H41" s="7">
        <v>29</v>
      </c>
      <c r="I41" s="1">
        <v>4</v>
      </c>
      <c r="J41" s="8">
        <v>5</v>
      </c>
      <c r="K41" s="9">
        <f t="shared" si="2"/>
        <v>4167.8999999999996</v>
      </c>
      <c r="L41" s="9">
        <v>4167.8999999999996</v>
      </c>
      <c r="M41" s="9"/>
      <c r="N41" s="1"/>
      <c r="O41" s="9">
        <f t="shared" si="1"/>
        <v>0</v>
      </c>
      <c r="P41" s="9">
        <v>0</v>
      </c>
      <c r="Q41" s="9"/>
      <c r="R41" s="10"/>
    </row>
    <row r="42" spans="1:18" ht="15" customHeight="1" x14ac:dyDescent="0.25">
      <c r="A42" s="6">
        <v>17</v>
      </c>
      <c r="B42" s="5" t="s">
        <v>46</v>
      </c>
      <c r="C42" s="6" t="s">
        <v>20</v>
      </c>
      <c r="D42" s="5"/>
      <c r="E42" s="5" t="s">
        <v>47</v>
      </c>
      <c r="F42" s="5" t="s">
        <v>162</v>
      </c>
      <c r="G42" s="5" t="s">
        <v>144</v>
      </c>
      <c r="H42" s="7">
        <v>47</v>
      </c>
      <c r="I42" s="1">
        <v>41</v>
      </c>
      <c r="J42" s="8">
        <v>60</v>
      </c>
      <c r="K42" s="9">
        <f t="shared" si="2"/>
        <v>37148.5</v>
      </c>
      <c r="L42" s="9">
        <f>15181.55+8796.94+13170.01</f>
        <v>37148.5</v>
      </c>
      <c r="M42" s="9"/>
      <c r="N42" s="1">
        <v>13</v>
      </c>
      <c r="O42" s="9">
        <f t="shared" si="1"/>
        <v>21360.75</v>
      </c>
      <c r="P42" s="9">
        <f>20469.33+891.42</f>
        <v>21360.75</v>
      </c>
      <c r="Q42" s="9"/>
      <c r="R42" s="10"/>
    </row>
    <row r="43" spans="1:18" ht="15" customHeight="1" x14ac:dyDescent="0.25">
      <c r="A43" s="6"/>
      <c r="B43" s="5" t="s">
        <v>128</v>
      </c>
      <c r="C43" s="6" t="s">
        <v>20</v>
      </c>
      <c r="D43" s="5"/>
      <c r="E43" s="5" t="s">
        <v>47</v>
      </c>
      <c r="F43" s="5" t="s">
        <v>251</v>
      </c>
      <c r="G43" s="5" t="s">
        <v>126</v>
      </c>
      <c r="H43" s="7">
        <v>5</v>
      </c>
      <c r="I43" s="2">
        <v>2</v>
      </c>
      <c r="J43" s="8">
        <v>2</v>
      </c>
      <c r="K43" s="9">
        <f t="shared" si="2"/>
        <v>2252.4</v>
      </c>
      <c r="L43" s="9">
        <v>2252.4</v>
      </c>
      <c r="M43" s="9"/>
      <c r="N43" s="2"/>
      <c r="O43" s="9">
        <f t="shared" si="1"/>
        <v>0</v>
      </c>
      <c r="P43" s="9">
        <v>0</v>
      </c>
      <c r="Q43" s="9"/>
      <c r="R43" s="10"/>
    </row>
    <row r="44" spans="1:18" ht="15" customHeight="1" x14ac:dyDescent="0.25">
      <c r="A44" s="6">
        <v>18</v>
      </c>
      <c r="B44" s="5" t="s">
        <v>48</v>
      </c>
      <c r="C44" s="6" t="s">
        <v>20</v>
      </c>
      <c r="D44" s="5"/>
      <c r="E44" s="5" t="s">
        <v>21</v>
      </c>
      <c r="F44" s="5" t="s">
        <v>163</v>
      </c>
      <c r="G44" s="5" t="s">
        <v>144</v>
      </c>
      <c r="H44" s="7">
        <v>14</v>
      </c>
      <c r="I44" s="1">
        <v>6</v>
      </c>
      <c r="J44" s="8">
        <v>6</v>
      </c>
      <c r="K44" s="9">
        <f t="shared" si="2"/>
        <v>2166.81</v>
      </c>
      <c r="L44" s="9">
        <f>362.4+1804.41</f>
        <v>2166.81</v>
      </c>
      <c r="M44" s="9"/>
      <c r="N44" s="1">
        <v>10</v>
      </c>
      <c r="O44" s="9">
        <f t="shared" si="1"/>
        <v>8492.0500000000011</v>
      </c>
      <c r="P44" s="9">
        <f>5275.47+2408.26+808.32</f>
        <v>8492.0500000000011</v>
      </c>
      <c r="Q44" s="9"/>
      <c r="R44" s="10"/>
    </row>
    <row r="45" spans="1:18" ht="15.6" customHeight="1" x14ac:dyDescent="0.25">
      <c r="A45" s="6"/>
      <c r="B45" s="5" t="s">
        <v>48</v>
      </c>
      <c r="C45" s="6" t="s">
        <v>20</v>
      </c>
      <c r="D45" s="5"/>
      <c r="E45" s="5" t="s">
        <v>21</v>
      </c>
      <c r="F45" s="5" t="s">
        <v>225</v>
      </c>
      <c r="G45" s="5" t="s">
        <v>124</v>
      </c>
      <c r="H45" s="7">
        <v>18</v>
      </c>
      <c r="I45" s="1">
        <v>3</v>
      </c>
      <c r="J45" s="8">
        <v>3</v>
      </c>
      <c r="K45" s="9">
        <f t="shared" si="2"/>
        <v>1768.2</v>
      </c>
      <c r="L45" s="9">
        <v>1768.2</v>
      </c>
      <c r="M45" s="9"/>
      <c r="N45" s="1"/>
      <c r="O45" s="9">
        <f t="shared" si="1"/>
        <v>0</v>
      </c>
      <c r="P45" s="9">
        <v>0</v>
      </c>
      <c r="Q45" s="9"/>
      <c r="R45" s="10"/>
    </row>
    <row r="46" spans="1:18" ht="15" customHeight="1" x14ac:dyDescent="0.25">
      <c r="A46" s="24">
        <v>19</v>
      </c>
      <c r="B46" s="30" t="s">
        <v>49</v>
      </c>
      <c r="C46" s="24" t="s">
        <v>20</v>
      </c>
      <c r="D46" s="30"/>
      <c r="E46" s="30" t="s">
        <v>21</v>
      </c>
      <c r="F46" s="30" t="s">
        <v>164</v>
      </c>
      <c r="G46" s="30" t="s">
        <v>144</v>
      </c>
      <c r="H46" s="7">
        <v>32</v>
      </c>
      <c r="I46" s="1">
        <v>18</v>
      </c>
      <c r="J46" s="8">
        <v>21</v>
      </c>
      <c r="K46" s="9">
        <f t="shared" si="2"/>
        <v>5304.18</v>
      </c>
      <c r="L46" s="9">
        <f>2197.2+3106.98</f>
        <v>5304.18</v>
      </c>
      <c r="M46" s="9"/>
      <c r="N46" s="1">
        <v>17</v>
      </c>
      <c r="O46" s="9">
        <f t="shared" si="1"/>
        <v>23897.940000000002</v>
      </c>
      <c r="P46" s="9">
        <f>13273.79+550.04+5825.28+4248.83</f>
        <v>23897.940000000002</v>
      </c>
      <c r="Q46" s="9"/>
      <c r="R46" s="10"/>
    </row>
    <row r="47" spans="1:18" ht="13.9" customHeight="1" x14ac:dyDescent="0.25">
      <c r="A47" s="6"/>
      <c r="B47" s="5" t="s">
        <v>49</v>
      </c>
      <c r="C47" s="6" t="s">
        <v>20</v>
      </c>
      <c r="D47" s="5"/>
      <c r="E47" s="5" t="s">
        <v>21</v>
      </c>
      <c r="F47" s="5" t="s">
        <v>226</v>
      </c>
      <c r="G47" s="5" t="s">
        <v>124</v>
      </c>
      <c r="H47" s="7">
        <v>25</v>
      </c>
      <c r="I47" s="1">
        <v>7</v>
      </c>
      <c r="J47" s="8">
        <v>7</v>
      </c>
      <c r="K47" s="9">
        <f t="shared" si="2"/>
        <v>5663.42</v>
      </c>
      <c r="L47" s="9">
        <v>5663.42</v>
      </c>
      <c r="M47" s="9"/>
      <c r="N47" s="1"/>
      <c r="O47" s="9">
        <f t="shared" si="1"/>
        <v>0</v>
      </c>
      <c r="P47" s="9">
        <v>0</v>
      </c>
      <c r="Q47" s="9"/>
      <c r="R47" s="10"/>
    </row>
    <row r="48" spans="1:18" ht="15" customHeight="1" x14ac:dyDescent="0.25">
      <c r="A48" s="6">
        <v>20</v>
      </c>
      <c r="B48" s="5" t="s">
        <v>50</v>
      </c>
      <c r="C48" s="6" t="s">
        <v>20</v>
      </c>
      <c r="D48" s="5"/>
      <c r="E48" s="5" t="s">
        <v>21</v>
      </c>
      <c r="F48" s="5" t="s">
        <v>165</v>
      </c>
      <c r="G48" s="5" t="s">
        <v>144</v>
      </c>
      <c r="H48" s="7">
        <v>30</v>
      </c>
      <c r="I48" s="1">
        <v>21</v>
      </c>
      <c r="J48" s="8">
        <v>23</v>
      </c>
      <c r="K48" s="9">
        <f t="shared" si="2"/>
        <v>20903.560000000001</v>
      </c>
      <c r="L48" s="9">
        <f>5972.1+11124.6+3806.86</f>
        <v>20903.560000000001</v>
      </c>
      <c r="M48" s="9"/>
      <c r="N48" s="1">
        <v>9</v>
      </c>
      <c r="O48" s="9">
        <f t="shared" si="1"/>
        <v>17642.879999999997</v>
      </c>
      <c r="P48" s="9">
        <f>6342.5+11300.38</f>
        <v>17642.879999999997</v>
      </c>
      <c r="Q48" s="9"/>
      <c r="R48" s="10"/>
    </row>
    <row r="49" spans="1:18" ht="15" customHeight="1" x14ac:dyDescent="0.25">
      <c r="A49" s="6"/>
      <c r="B49" s="5" t="s">
        <v>50</v>
      </c>
      <c r="C49" s="6" t="s">
        <v>20</v>
      </c>
      <c r="D49" s="5"/>
      <c r="E49" s="5" t="s">
        <v>21</v>
      </c>
      <c r="F49" s="5" t="s">
        <v>122</v>
      </c>
      <c r="G49" s="5" t="s">
        <v>124</v>
      </c>
      <c r="H49" s="7">
        <v>0</v>
      </c>
      <c r="I49" s="1"/>
      <c r="J49" s="8"/>
      <c r="K49" s="9">
        <f t="shared" si="2"/>
        <v>0</v>
      </c>
      <c r="L49" s="9"/>
      <c r="M49" s="9"/>
      <c r="N49" s="1"/>
      <c r="O49" s="9">
        <f t="shared" si="1"/>
        <v>0</v>
      </c>
      <c r="P49" s="9">
        <v>0</v>
      </c>
      <c r="Q49" s="9"/>
      <c r="R49" s="10"/>
    </row>
    <row r="50" spans="1:18" ht="15" customHeight="1" x14ac:dyDescent="0.25">
      <c r="A50" s="6">
        <v>21</v>
      </c>
      <c r="B50" s="5" t="s">
        <v>51</v>
      </c>
      <c r="C50" s="6" t="s">
        <v>20</v>
      </c>
      <c r="D50" s="5"/>
      <c r="E50" s="5" t="s">
        <v>21</v>
      </c>
      <c r="F50" s="5" t="s">
        <v>166</v>
      </c>
      <c r="G50" s="5" t="s">
        <v>144</v>
      </c>
      <c r="H50" s="7">
        <v>31</v>
      </c>
      <c r="I50" s="1">
        <v>17</v>
      </c>
      <c r="J50" s="8">
        <v>10</v>
      </c>
      <c r="K50" s="9">
        <f t="shared" si="2"/>
        <v>5043.96</v>
      </c>
      <c r="L50" s="9">
        <f>3390.23+1653.73</f>
        <v>5043.96</v>
      </c>
      <c r="M50" s="9"/>
      <c r="N50" s="1">
        <v>11</v>
      </c>
      <c r="O50" s="9">
        <f t="shared" si="1"/>
        <v>757.6</v>
      </c>
      <c r="P50" s="9">
        <v>757.6</v>
      </c>
      <c r="Q50" s="9"/>
      <c r="R50" s="10"/>
    </row>
    <row r="51" spans="1:18" ht="15" customHeight="1" x14ac:dyDescent="0.25">
      <c r="A51" s="6">
        <v>22</v>
      </c>
      <c r="B51" s="5" t="s">
        <v>140</v>
      </c>
      <c r="C51" s="6" t="s">
        <v>20</v>
      </c>
      <c r="D51" s="5"/>
      <c r="E51" s="5" t="s">
        <v>21</v>
      </c>
      <c r="F51" s="5" t="s">
        <v>247</v>
      </c>
      <c r="G51" s="5" t="s">
        <v>144</v>
      </c>
      <c r="H51" s="7">
        <v>39</v>
      </c>
      <c r="I51" s="1">
        <v>26</v>
      </c>
      <c r="J51" s="8">
        <v>32</v>
      </c>
      <c r="K51" s="9">
        <f t="shared" si="2"/>
        <v>12023.71</v>
      </c>
      <c r="L51" s="9">
        <f>4341.29+7682.42</f>
        <v>12023.71</v>
      </c>
      <c r="M51" s="9"/>
      <c r="N51" s="1">
        <v>21</v>
      </c>
      <c r="O51" s="9">
        <f t="shared" si="1"/>
        <v>40348.920000000006</v>
      </c>
      <c r="P51" s="9">
        <f>22731.08+11388.54+6229.3</f>
        <v>40348.920000000006</v>
      </c>
      <c r="Q51" s="9"/>
      <c r="R51" s="10"/>
    </row>
    <row r="52" spans="1:18" ht="15" customHeight="1" x14ac:dyDescent="0.25">
      <c r="A52" s="6"/>
      <c r="B52" s="5" t="s">
        <v>140</v>
      </c>
      <c r="C52" s="6" t="s">
        <v>20</v>
      </c>
      <c r="D52" s="5"/>
      <c r="E52" s="5" t="s">
        <v>21</v>
      </c>
      <c r="F52" s="5" t="s">
        <v>232</v>
      </c>
      <c r="G52" s="5" t="s">
        <v>138</v>
      </c>
      <c r="H52" s="7">
        <v>11</v>
      </c>
      <c r="I52" s="2">
        <v>5</v>
      </c>
      <c r="J52" s="8">
        <v>5</v>
      </c>
      <c r="K52" s="9">
        <f t="shared" si="2"/>
        <v>3452.2</v>
      </c>
      <c r="L52" s="9">
        <v>3452.2</v>
      </c>
      <c r="M52" s="9"/>
      <c r="N52" s="2"/>
      <c r="O52" s="9">
        <f t="shared" si="1"/>
        <v>0</v>
      </c>
      <c r="P52" s="9">
        <v>0</v>
      </c>
      <c r="Q52" s="9"/>
      <c r="R52" s="10"/>
    </row>
    <row r="53" spans="1:18" s="38" customFormat="1" x14ac:dyDescent="0.25">
      <c r="A53" s="31">
        <v>23</v>
      </c>
      <c r="B53" s="32" t="s">
        <v>149</v>
      </c>
      <c r="C53" s="33" t="s">
        <v>20</v>
      </c>
      <c r="D53" s="32"/>
      <c r="E53" s="32" t="s">
        <v>52</v>
      </c>
      <c r="F53" s="32"/>
      <c r="G53" s="32" t="s">
        <v>144</v>
      </c>
      <c r="H53" s="34">
        <v>0</v>
      </c>
      <c r="I53" s="35"/>
      <c r="J53" s="8"/>
      <c r="K53" s="9">
        <f t="shared" si="2"/>
        <v>0</v>
      </c>
      <c r="L53" s="36"/>
      <c r="M53" s="36"/>
      <c r="N53" s="8">
        <v>7</v>
      </c>
      <c r="O53" s="9">
        <f t="shared" si="1"/>
        <v>23159.08</v>
      </c>
      <c r="P53" s="31">
        <f>21450.24+1708.84</f>
        <v>23159.08</v>
      </c>
      <c r="Q53" s="37"/>
      <c r="R53" s="10"/>
    </row>
    <row r="54" spans="1:18" ht="24.75" customHeight="1" x14ac:dyDescent="0.25">
      <c r="A54" s="27">
        <v>24</v>
      </c>
      <c r="B54" s="28" t="s">
        <v>53</v>
      </c>
      <c r="C54" s="27" t="s">
        <v>54</v>
      </c>
      <c r="D54" s="28" t="s">
        <v>55</v>
      </c>
      <c r="E54" s="28" t="s">
        <v>21</v>
      </c>
      <c r="F54" s="28" t="s">
        <v>167</v>
      </c>
      <c r="G54" s="28" t="s">
        <v>144</v>
      </c>
      <c r="H54" s="7">
        <v>66</v>
      </c>
      <c r="I54" s="1">
        <v>44</v>
      </c>
      <c r="J54" s="8">
        <v>46</v>
      </c>
      <c r="K54" s="9">
        <f t="shared" si="2"/>
        <v>29959.040000000001</v>
      </c>
      <c r="L54" s="9">
        <f>23589.89+6369.15</f>
        <v>29959.040000000001</v>
      </c>
      <c r="M54" s="9"/>
      <c r="N54" s="1">
        <v>18</v>
      </c>
      <c r="O54" s="9">
        <f t="shared" si="1"/>
        <v>71351.600000000006</v>
      </c>
      <c r="P54" s="9">
        <v>71351.600000000006</v>
      </c>
      <c r="Q54" s="9"/>
      <c r="R54" s="10"/>
    </row>
    <row r="55" spans="1:18" ht="15" customHeight="1" x14ac:dyDescent="0.25">
      <c r="A55" s="6">
        <v>25</v>
      </c>
      <c r="B55" s="5" t="s">
        <v>56</v>
      </c>
      <c r="C55" s="6" t="s">
        <v>20</v>
      </c>
      <c r="D55" s="5"/>
      <c r="E55" s="5" t="s">
        <v>21</v>
      </c>
      <c r="F55" s="5" t="s">
        <v>168</v>
      </c>
      <c r="G55" s="5" t="s">
        <v>144</v>
      </c>
      <c r="H55" s="7">
        <v>45</v>
      </c>
      <c r="I55" s="1">
        <v>36</v>
      </c>
      <c r="J55" s="8">
        <v>41</v>
      </c>
      <c r="K55" s="9">
        <f t="shared" si="2"/>
        <v>33171.46</v>
      </c>
      <c r="L55" s="9">
        <f>24358.95+8812.51</f>
        <v>33171.46</v>
      </c>
      <c r="M55" s="9"/>
      <c r="N55" s="1">
        <v>11</v>
      </c>
      <c r="O55" s="9">
        <f t="shared" si="1"/>
        <v>10884.89</v>
      </c>
      <c r="P55" s="9">
        <f>8441.74+2443.15</f>
        <v>10884.89</v>
      </c>
      <c r="Q55" s="9"/>
      <c r="R55" s="10"/>
    </row>
    <row r="56" spans="1:18" ht="15" customHeight="1" x14ac:dyDescent="0.25">
      <c r="A56" s="6"/>
      <c r="B56" s="5" t="s">
        <v>56</v>
      </c>
      <c r="C56" s="6" t="s">
        <v>20</v>
      </c>
      <c r="D56" s="5"/>
      <c r="E56" s="5" t="s">
        <v>21</v>
      </c>
      <c r="F56" s="5" t="s">
        <v>227</v>
      </c>
      <c r="G56" s="5" t="s">
        <v>124</v>
      </c>
      <c r="H56" s="7">
        <v>25</v>
      </c>
      <c r="I56" s="1">
        <v>11</v>
      </c>
      <c r="J56" s="8">
        <v>13</v>
      </c>
      <c r="K56" s="9">
        <f t="shared" si="2"/>
        <v>9708.4</v>
      </c>
      <c r="L56" s="9">
        <v>9708.4</v>
      </c>
      <c r="M56" s="9"/>
      <c r="N56" s="1"/>
      <c r="O56" s="9">
        <f t="shared" si="1"/>
        <v>0</v>
      </c>
      <c r="P56" s="9">
        <v>0</v>
      </c>
      <c r="Q56" s="9"/>
      <c r="R56" s="10"/>
    </row>
    <row r="57" spans="1:18" ht="15" customHeight="1" x14ac:dyDescent="0.25">
      <c r="A57" s="6">
        <v>26</v>
      </c>
      <c r="B57" s="5" t="s">
        <v>57</v>
      </c>
      <c r="C57" s="6" t="s">
        <v>20</v>
      </c>
      <c r="D57" s="5"/>
      <c r="E57" s="5" t="s">
        <v>21</v>
      </c>
      <c r="F57" s="5" t="s">
        <v>169</v>
      </c>
      <c r="G57" s="5" t="s">
        <v>144</v>
      </c>
      <c r="H57" s="7">
        <v>36</v>
      </c>
      <c r="I57" s="1">
        <v>30</v>
      </c>
      <c r="J57" s="8">
        <v>36</v>
      </c>
      <c r="K57" s="9">
        <f t="shared" si="2"/>
        <v>23051.690000000002</v>
      </c>
      <c r="L57" s="9">
        <f>10768.61+7832.47+4450.61</f>
        <v>23051.690000000002</v>
      </c>
      <c r="M57" s="9"/>
      <c r="N57" s="1">
        <v>13</v>
      </c>
      <c r="O57" s="9">
        <f t="shared" si="1"/>
        <v>16773.8</v>
      </c>
      <c r="P57" s="9">
        <f>13192.77+2951.21+629.82</f>
        <v>16773.8</v>
      </c>
      <c r="Q57" s="9"/>
      <c r="R57" s="10"/>
    </row>
    <row r="58" spans="1:18" ht="15.6" customHeight="1" x14ac:dyDescent="0.25">
      <c r="A58" s="6"/>
      <c r="B58" s="5" t="s">
        <v>57</v>
      </c>
      <c r="C58" s="6" t="s">
        <v>20</v>
      </c>
      <c r="D58" s="5"/>
      <c r="E58" s="5" t="s">
        <v>21</v>
      </c>
      <c r="F58" s="5" t="s">
        <v>228</v>
      </c>
      <c r="G58" s="5" t="s">
        <v>124</v>
      </c>
      <c r="H58" s="7">
        <v>29</v>
      </c>
      <c r="I58" s="1">
        <v>13</v>
      </c>
      <c r="J58" s="8">
        <v>18</v>
      </c>
      <c r="K58" s="9">
        <f t="shared" si="2"/>
        <v>9956</v>
      </c>
      <c r="L58" s="9">
        <v>9956</v>
      </c>
      <c r="M58" s="9"/>
      <c r="N58" s="1"/>
      <c r="O58" s="9">
        <f t="shared" si="1"/>
        <v>0</v>
      </c>
      <c r="P58" s="9">
        <v>0</v>
      </c>
      <c r="Q58" s="9"/>
      <c r="R58" s="10"/>
    </row>
    <row r="59" spans="1:18" ht="15" customHeight="1" x14ac:dyDescent="0.25">
      <c r="A59" s="6">
        <v>27</v>
      </c>
      <c r="B59" s="5" t="s">
        <v>58</v>
      </c>
      <c r="C59" s="6" t="s">
        <v>54</v>
      </c>
      <c r="D59" s="5" t="s">
        <v>59</v>
      </c>
      <c r="E59" s="5" t="s">
        <v>21</v>
      </c>
      <c r="F59" s="5" t="s">
        <v>170</v>
      </c>
      <c r="G59" s="5" t="s">
        <v>144</v>
      </c>
      <c r="H59" s="7">
        <v>40</v>
      </c>
      <c r="I59" s="1">
        <v>27</v>
      </c>
      <c r="J59" s="8">
        <v>31</v>
      </c>
      <c r="K59" s="9">
        <f t="shared" si="2"/>
        <v>19893.150000000001</v>
      </c>
      <c r="L59" s="9">
        <f>7942.39+6280.9+5669.86</f>
        <v>19893.150000000001</v>
      </c>
      <c r="M59" s="9"/>
      <c r="N59" s="1">
        <v>11</v>
      </c>
      <c r="O59" s="9">
        <f t="shared" si="1"/>
        <v>15704.92</v>
      </c>
      <c r="P59" s="9">
        <f>13697.1+2007.82</f>
        <v>15704.92</v>
      </c>
      <c r="Q59" s="9"/>
      <c r="R59" s="10"/>
    </row>
    <row r="60" spans="1:18" ht="15" customHeight="1" x14ac:dyDescent="0.25">
      <c r="A60" s="6">
        <v>28</v>
      </c>
      <c r="B60" s="5" t="s">
        <v>60</v>
      </c>
      <c r="C60" s="6" t="s">
        <v>20</v>
      </c>
      <c r="D60" s="5"/>
      <c r="E60" s="5" t="s">
        <v>21</v>
      </c>
      <c r="F60" s="5" t="s">
        <v>171</v>
      </c>
      <c r="G60" s="5" t="s">
        <v>144</v>
      </c>
      <c r="H60" s="7">
        <v>40</v>
      </c>
      <c r="I60" s="1">
        <v>33</v>
      </c>
      <c r="J60" s="8">
        <v>35</v>
      </c>
      <c r="K60" s="9">
        <f t="shared" si="2"/>
        <v>24777.21</v>
      </c>
      <c r="L60" s="9">
        <f>15687.99+2310.28+6778.94</f>
        <v>24777.21</v>
      </c>
      <c r="M60" s="9"/>
      <c r="N60" s="1">
        <v>8</v>
      </c>
      <c r="O60" s="9">
        <f t="shared" si="1"/>
        <v>5490.5</v>
      </c>
      <c r="P60" s="9">
        <v>5490.5</v>
      </c>
      <c r="Q60" s="9"/>
      <c r="R60" s="10"/>
    </row>
    <row r="61" spans="1:18" ht="15" customHeight="1" x14ac:dyDescent="0.25">
      <c r="A61" s="6"/>
      <c r="B61" s="5" t="s">
        <v>60</v>
      </c>
      <c r="C61" s="6" t="s">
        <v>20</v>
      </c>
      <c r="D61" s="5"/>
      <c r="E61" s="5" t="s">
        <v>21</v>
      </c>
      <c r="F61" s="5" t="s">
        <v>273</v>
      </c>
      <c r="G61" s="5" t="s">
        <v>124</v>
      </c>
      <c r="H61" s="7">
        <v>15</v>
      </c>
      <c r="I61" s="1">
        <v>5</v>
      </c>
      <c r="J61" s="8">
        <v>5</v>
      </c>
      <c r="K61" s="9">
        <f t="shared" si="2"/>
        <v>2231.3000000000002</v>
      </c>
      <c r="L61" s="9">
        <v>2231.3000000000002</v>
      </c>
      <c r="M61" s="9"/>
      <c r="N61" s="1"/>
      <c r="O61" s="9">
        <f t="shared" si="1"/>
        <v>0</v>
      </c>
      <c r="P61" s="9">
        <v>0</v>
      </c>
      <c r="Q61" s="9"/>
      <c r="R61" s="10"/>
    </row>
    <row r="62" spans="1:18" ht="15" customHeight="1" x14ac:dyDescent="0.25">
      <c r="A62" s="6">
        <v>29</v>
      </c>
      <c r="B62" s="5" t="s">
        <v>61</v>
      </c>
      <c r="C62" s="6" t="s">
        <v>20</v>
      </c>
      <c r="D62" s="5"/>
      <c r="E62" s="5" t="s">
        <v>62</v>
      </c>
      <c r="F62" s="5" t="s">
        <v>172</v>
      </c>
      <c r="G62" s="5" t="s">
        <v>144</v>
      </c>
      <c r="H62" s="7">
        <v>21</v>
      </c>
      <c r="I62" s="1">
        <v>11</v>
      </c>
      <c r="J62" s="8">
        <v>15</v>
      </c>
      <c r="K62" s="9">
        <f t="shared" si="2"/>
        <v>12646.82</v>
      </c>
      <c r="L62" s="9">
        <f>7702.39+286.28+4658.15</f>
        <v>12646.82</v>
      </c>
      <c r="M62" s="9"/>
      <c r="N62" s="1">
        <v>40</v>
      </c>
      <c r="O62" s="9">
        <f t="shared" si="1"/>
        <v>21791.69</v>
      </c>
      <c r="P62" s="9">
        <f>14576.24+2246.81+4968.64</f>
        <v>21791.69</v>
      </c>
      <c r="Q62" s="9"/>
      <c r="R62" s="10"/>
    </row>
    <row r="63" spans="1:18" ht="15" customHeight="1" x14ac:dyDescent="0.25">
      <c r="A63" s="6"/>
      <c r="B63" s="5" t="s">
        <v>141</v>
      </c>
      <c r="C63" s="6" t="s">
        <v>20</v>
      </c>
      <c r="D63" s="5"/>
      <c r="E63" s="5" t="s">
        <v>62</v>
      </c>
      <c r="F63" s="5" t="s">
        <v>248</v>
      </c>
      <c r="G63" s="5" t="s">
        <v>138</v>
      </c>
      <c r="H63" s="7">
        <v>27</v>
      </c>
      <c r="I63" s="2">
        <v>8</v>
      </c>
      <c r="J63" s="8">
        <v>8</v>
      </c>
      <c r="K63" s="9">
        <f t="shared" si="2"/>
        <v>2610.1999999999998</v>
      </c>
      <c r="L63" s="9">
        <v>2610.1999999999998</v>
      </c>
      <c r="M63" s="9"/>
      <c r="N63" s="2"/>
      <c r="O63" s="9">
        <f t="shared" si="1"/>
        <v>0</v>
      </c>
      <c r="P63" s="9">
        <v>0</v>
      </c>
      <c r="Q63" s="9"/>
      <c r="R63" s="10"/>
    </row>
    <row r="64" spans="1:18" ht="15" customHeight="1" x14ac:dyDescent="0.25">
      <c r="A64" s="6">
        <v>30</v>
      </c>
      <c r="B64" s="5" t="s">
        <v>63</v>
      </c>
      <c r="C64" s="6" t="s">
        <v>20</v>
      </c>
      <c r="D64" s="5"/>
      <c r="E64" s="5" t="s">
        <v>43</v>
      </c>
      <c r="F64" s="5" t="s">
        <v>173</v>
      </c>
      <c r="G64" s="5" t="s">
        <v>144</v>
      </c>
      <c r="H64" s="7">
        <v>43</v>
      </c>
      <c r="I64" s="1">
        <v>28</v>
      </c>
      <c r="J64" s="8">
        <v>32</v>
      </c>
      <c r="K64" s="9">
        <f t="shared" si="2"/>
        <v>24571.23</v>
      </c>
      <c r="L64" s="9">
        <f>6124.8+5418.04+13028.39</f>
        <v>24571.23</v>
      </c>
      <c r="M64" s="9"/>
      <c r="N64" s="1">
        <v>42</v>
      </c>
      <c r="O64" s="9">
        <f t="shared" si="1"/>
        <v>104674.20999999999</v>
      </c>
      <c r="P64" s="9">
        <f>85657.12+8838.45+10178.64</f>
        <v>104674.20999999999</v>
      </c>
      <c r="Q64" s="9"/>
      <c r="R64" s="10"/>
    </row>
    <row r="65" spans="1:18" ht="15" customHeight="1" x14ac:dyDescent="0.25">
      <c r="A65" s="6"/>
      <c r="B65" s="5" t="s">
        <v>63</v>
      </c>
      <c r="C65" s="6" t="s">
        <v>20</v>
      </c>
      <c r="D65" s="5"/>
      <c r="E65" s="5" t="s">
        <v>43</v>
      </c>
      <c r="F65" s="5" t="s">
        <v>219</v>
      </c>
      <c r="G65" s="5" t="s">
        <v>138</v>
      </c>
      <c r="H65" s="7">
        <v>7</v>
      </c>
      <c r="I65" s="2"/>
      <c r="J65" s="8"/>
      <c r="K65" s="9">
        <f t="shared" si="2"/>
        <v>0</v>
      </c>
      <c r="L65" s="9"/>
      <c r="M65" s="9"/>
      <c r="N65" s="2"/>
      <c r="O65" s="9">
        <f t="shared" si="1"/>
        <v>0</v>
      </c>
      <c r="P65" s="9">
        <v>0</v>
      </c>
      <c r="Q65" s="9"/>
      <c r="R65" s="10"/>
    </row>
    <row r="66" spans="1:18" ht="15" customHeight="1" x14ac:dyDescent="0.25">
      <c r="A66" s="6">
        <v>31</v>
      </c>
      <c r="B66" s="5" t="s">
        <v>64</v>
      </c>
      <c r="C66" s="6" t="s">
        <v>20</v>
      </c>
      <c r="D66" s="5"/>
      <c r="E66" s="5" t="s">
        <v>21</v>
      </c>
      <c r="F66" s="5" t="s">
        <v>174</v>
      </c>
      <c r="G66" s="5" t="s">
        <v>144</v>
      </c>
      <c r="H66" s="7">
        <v>53</v>
      </c>
      <c r="I66" s="1">
        <v>47</v>
      </c>
      <c r="J66" s="8">
        <v>48</v>
      </c>
      <c r="K66" s="9">
        <f t="shared" si="2"/>
        <v>41332.990000000005</v>
      </c>
      <c r="L66" s="9">
        <f>23998.91+8539.42+8794.66</f>
        <v>41332.990000000005</v>
      </c>
      <c r="M66" s="9"/>
      <c r="N66" s="1">
        <v>27</v>
      </c>
      <c r="O66" s="9">
        <f t="shared" si="1"/>
        <v>54430.049999999996</v>
      </c>
      <c r="P66" s="9">
        <f>48620.45+5809.6</f>
        <v>54430.049999999996</v>
      </c>
      <c r="Q66" s="9"/>
      <c r="R66" s="10"/>
    </row>
    <row r="67" spans="1:18" ht="15" customHeight="1" x14ac:dyDescent="0.25">
      <c r="A67" s="6"/>
      <c r="B67" s="5" t="s">
        <v>64</v>
      </c>
      <c r="C67" s="6" t="s">
        <v>20</v>
      </c>
      <c r="D67" s="5"/>
      <c r="E67" s="5" t="s">
        <v>21</v>
      </c>
      <c r="F67" s="5" t="s">
        <v>280</v>
      </c>
      <c r="G67" s="5" t="s">
        <v>126</v>
      </c>
      <c r="H67" s="7">
        <v>2</v>
      </c>
      <c r="I67" s="1"/>
      <c r="J67" s="8"/>
      <c r="K67" s="9">
        <f t="shared" si="2"/>
        <v>0</v>
      </c>
      <c r="L67" s="9"/>
      <c r="M67" s="9"/>
      <c r="N67" s="1"/>
      <c r="O67" s="9">
        <f t="shared" si="1"/>
        <v>0</v>
      </c>
      <c r="P67" s="9"/>
      <c r="Q67" s="9"/>
      <c r="R67" s="10"/>
    </row>
    <row r="68" spans="1:18" ht="15" customHeight="1" x14ac:dyDescent="0.25">
      <c r="A68" s="6"/>
      <c r="B68" s="5" t="s">
        <v>64</v>
      </c>
      <c r="C68" s="6" t="s">
        <v>20</v>
      </c>
      <c r="D68" s="5"/>
      <c r="E68" s="5" t="s">
        <v>21</v>
      </c>
      <c r="F68" s="5" t="s">
        <v>122</v>
      </c>
      <c r="G68" s="5" t="s">
        <v>124</v>
      </c>
      <c r="H68" s="7">
        <v>34</v>
      </c>
      <c r="I68" s="1">
        <v>16</v>
      </c>
      <c r="J68" s="8">
        <v>17</v>
      </c>
      <c r="K68" s="9">
        <f t="shared" si="2"/>
        <v>36533.32</v>
      </c>
      <c r="L68" s="9">
        <v>36533.32</v>
      </c>
      <c r="M68" s="9"/>
      <c r="N68" s="1"/>
      <c r="O68" s="9">
        <f t="shared" si="1"/>
        <v>0</v>
      </c>
      <c r="P68" s="9">
        <v>0</v>
      </c>
      <c r="Q68" s="9"/>
      <c r="R68" s="10"/>
    </row>
    <row r="69" spans="1:18" ht="15" customHeight="1" x14ac:dyDescent="0.25">
      <c r="A69" s="6"/>
      <c r="B69" s="5" t="s">
        <v>64</v>
      </c>
      <c r="C69" s="6" t="s">
        <v>20</v>
      </c>
      <c r="D69" s="5"/>
      <c r="E69" s="5" t="s">
        <v>21</v>
      </c>
      <c r="F69" s="5" t="s">
        <v>252</v>
      </c>
      <c r="G69" s="5" t="s">
        <v>213</v>
      </c>
      <c r="H69" s="7">
        <v>29</v>
      </c>
      <c r="I69" s="1">
        <v>11</v>
      </c>
      <c r="J69" s="8">
        <v>11</v>
      </c>
      <c r="K69" s="9">
        <f t="shared" si="2"/>
        <v>20389.34</v>
      </c>
      <c r="L69" s="9">
        <v>20389.34</v>
      </c>
      <c r="M69" s="9"/>
      <c r="N69" s="1"/>
      <c r="O69" s="9">
        <f t="shared" si="1"/>
        <v>0</v>
      </c>
      <c r="P69" s="9">
        <v>0</v>
      </c>
      <c r="Q69" s="9"/>
      <c r="R69" s="10"/>
    </row>
    <row r="70" spans="1:18" ht="15" customHeight="1" x14ac:dyDescent="0.25">
      <c r="A70" s="6">
        <v>32</v>
      </c>
      <c r="B70" s="5" t="s">
        <v>65</v>
      </c>
      <c r="C70" s="6" t="s">
        <v>20</v>
      </c>
      <c r="D70" s="5"/>
      <c r="E70" s="5" t="s">
        <v>43</v>
      </c>
      <c r="F70" s="5" t="s">
        <v>175</v>
      </c>
      <c r="G70" s="5" t="s">
        <v>144</v>
      </c>
      <c r="H70" s="7">
        <v>46</v>
      </c>
      <c r="I70" s="1">
        <v>33</v>
      </c>
      <c r="J70" s="8">
        <v>38</v>
      </c>
      <c r="K70" s="9">
        <f t="shared" si="2"/>
        <v>33232.089999999997</v>
      </c>
      <c r="L70" s="9">
        <f>22783.84+10448.25</f>
        <v>33232.089999999997</v>
      </c>
      <c r="M70" s="9"/>
      <c r="N70" s="1">
        <v>22</v>
      </c>
      <c r="O70" s="9">
        <f t="shared" si="1"/>
        <v>43719.590000000004</v>
      </c>
      <c r="P70" s="9">
        <f>19687.38+20214.99+3817.22</f>
        <v>43719.590000000004</v>
      </c>
      <c r="Q70" s="9"/>
      <c r="R70" s="10"/>
    </row>
    <row r="71" spans="1:18" ht="15" customHeight="1" x14ac:dyDescent="0.25">
      <c r="A71" s="6"/>
      <c r="B71" s="5" t="s">
        <v>65</v>
      </c>
      <c r="C71" s="6" t="s">
        <v>20</v>
      </c>
      <c r="D71" s="5"/>
      <c r="E71" s="5" t="s">
        <v>43</v>
      </c>
      <c r="F71" s="5" t="s">
        <v>220</v>
      </c>
      <c r="G71" s="5" t="s">
        <v>138</v>
      </c>
      <c r="H71" s="7">
        <v>32</v>
      </c>
      <c r="I71" s="2">
        <v>12</v>
      </c>
      <c r="J71" s="8">
        <v>12</v>
      </c>
      <c r="K71" s="9">
        <f t="shared" si="2"/>
        <v>22608</v>
      </c>
      <c r="L71" s="9">
        <v>22608</v>
      </c>
      <c r="M71" s="9"/>
      <c r="N71" s="2"/>
      <c r="O71" s="9">
        <f t="shared" si="1"/>
        <v>0</v>
      </c>
      <c r="P71" s="9">
        <v>0</v>
      </c>
      <c r="Q71" s="9"/>
      <c r="R71" s="10"/>
    </row>
    <row r="72" spans="1:18" ht="15" customHeight="1" x14ac:dyDescent="0.25">
      <c r="A72" s="6">
        <v>33</v>
      </c>
      <c r="B72" s="5" t="s">
        <v>66</v>
      </c>
      <c r="C72" s="6" t="s">
        <v>20</v>
      </c>
      <c r="D72" s="5"/>
      <c r="E72" s="5" t="s">
        <v>43</v>
      </c>
      <c r="F72" s="5" t="s">
        <v>125</v>
      </c>
      <c r="G72" s="5" t="s">
        <v>144</v>
      </c>
      <c r="H72" s="7">
        <v>0</v>
      </c>
      <c r="I72" s="2"/>
      <c r="J72" s="8"/>
      <c r="K72" s="9">
        <f t="shared" si="2"/>
        <v>0</v>
      </c>
      <c r="L72" s="9"/>
      <c r="M72" s="9"/>
      <c r="N72" s="2">
        <v>2</v>
      </c>
      <c r="O72" s="9">
        <f t="shared" si="1"/>
        <v>4799.3999999999996</v>
      </c>
      <c r="P72" s="9">
        <v>4799.3999999999996</v>
      </c>
      <c r="Q72" s="9"/>
      <c r="R72" s="10"/>
    </row>
    <row r="73" spans="1:18" ht="15" customHeight="1" x14ac:dyDescent="0.25">
      <c r="A73" s="6"/>
      <c r="B73" s="5" t="s">
        <v>66</v>
      </c>
      <c r="C73" s="6" t="s">
        <v>20</v>
      </c>
      <c r="D73" s="5"/>
      <c r="E73" s="5" t="s">
        <v>43</v>
      </c>
      <c r="F73" s="5" t="s">
        <v>236</v>
      </c>
      <c r="G73" s="5" t="s">
        <v>124</v>
      </c>
      <c r="H73" s="7">
        <v>27</v>
      </c>
      <c r="I73" s="1">
        <v>11</v>
      </c>
      <c r="J73" s="8">
        <v>15</v>
      </c>
      <c r="K73" s="9">
        <f t="shared" si="2"/>
        <v>9590.7000000000007</v>
      </c>
      <c r="L73" s="9">
        <v>9590.7000000000007</v>
      </c>
      <c r="M73" s="9"/>
      <c r="N73" s="1"/>
      <c r="O73" s="9">
        <f t="shared" si="1"/>
        <v>0</v>
      </c>
      <c r="P73" s="9">
        <v>0</v>
      </c>
      <c r="Q73" s="9"/>
      <c r="R73" s="10"/>
    </row>
    <row r="74" spans="1:18" ht="15" customHeight="1" x14ac:dyDescent="0.25">
      <c r="A74" s="6">
        <v>34</v>
      </c>
      <c r="B74" s="5" t="s">
        <v>241</v>
      </c>
      <c r="C74" s="6" t="s">
        <v>20</v>
      </c>
      <c r="D74" s="5"/>
      <c r="E74" s="5" t="s">
        <v>43</v>
      </c>
      <c r="F74" s="5" t="s">
        <v>125</v>
      </c>
      <c r="G74" s="5" t="s">
        <v>144</v>
      </c>
      <c r="H74" s="7">
        <v>0</v>
      </c>
      <c r="I74" s="1"/>
      <c r="J74" s="8"/>
      <c r="K74" s="9">
        <f t="shared" si="2"/>
        <v>0</v>
      </c>
      <c r="L74" s="9"/>
      <c r="M74" s="9"/>
      <c r="N74" s="1">
        <v>10</v>
      </c>
      <c r="O74" s="9">
        <f t="shared" si="1"/>
        <v>52110.95</v>
      </c>
      <c r="P74" s="9">
        <f>28556.53+17116.26+6438.16</f>
        <v>52110.95</v>
      </c>
      <c r="Q74" s="9"/>
      <c r="R74" s="10"/>
    </row>
    <row r="75" spans="1:18" ht="15" customHeight="1" x14ac:dyDescent="0.25">
      <c r="A75" s="6">
        <v>35</v>
      </c>
      <c r="B75" s="5" t="s">
        <v>67</v>
      </c>
      <c r="C75" s="6" t="s">
        <v>20</v>
      </c>
      <c r="D75" s="5"/>
      <c r="E75" s="5" t="s">
        <v>68</v>
      </c>
      <c r="F75" s="5" t="s">
        <v>176</v>
      </c>
      <c r="G75" s="5" t="s">
        <v>144</v>
      </c>
      <c r="H75" s="7">
        <v>40</v>
      </c>
      <c r="I75" s="1">
        <v>17</v>
      </c>
      <c r="J75" s="8">
        <v>26</v>
      </c>
      <c r="K75" s="9">
        <f t="shared" si="2"/>
        <v>18801.36</v>
      </c>
      <c r="L75" s="9">
        <f>9316.95+9484.41</f>
        <v>18801.36</v>
      </c>
      <c r="M75" s="9"/>
      <c r="N75" s="1">
        <v>22</v>
      </c>
      <c r="O75" s="9">
        <f t="shared" si="1"/>
        <v>16471.54</v>
      </c>
      <c r="P75" s="9">
        <v>16471.54</v>
      </c>
      <c r="Q75" s="9"/>
      <c r="R75" s="10"/>
    </row>
    <row r="76" spans="1:18" ht="15" customHeight="1" x14ac:dyDescent="0.25">
      <c r="A76" s="6"/>
      <c r="B76" s="5" t="s">
        <v>67</v>
      </c>
      <c r="C76" s="6" t="s">
        <v>20</v>
      </c>
      <c r="D76" s="5"/>
      <c r="E76" s="5" t="s">
        <v>68</v>
      </c>
      <c r="F76" s="5" t="s">
        <v>125</v>
      </c>
      <c r="G76" s="5" t="s">
        <v>138</v>
      </c>
      <c r="H76" s="7">
        <v>0</v>
      </c>
      <c r="I76" s="2"/>
      <c r="J76" s="8"/>
      <c r="K76" s="9">
        <f t="shared" si="2"/>
        <v>0</v>
      </c>
      <c r="L76" s="9"/>
      <c r="M76" s="9"/>
      <c r="N76" s="2"/>
      <c r="O76" s="9">
        <f t="shared" si="1"/>
        <v>0</v>
      </c>
      <c r="P76" s="9">
        <v>0</v>
      </c>
      <c r="Q76" s="9"/>
      <c r="R76" s="10"/>
    </row>
    <row r="77" spans="1:18" ht="15" customHeight="1" x14ac:dyDescent="0.25">
      <c r="A77" s="6">
        <v>36</v>
      </c>
      <c r="B77" s="5" t="s">
        <v>69</v>
      </c>
      <c r="C77" s="6" t="s">
        <v>20</v>
      </c>
      <c r="D77" s="5"/>
      <c r="E77" s="5" t="s">
        <v>21</v>
      </c>
      <c r="F77" s="5" t="s">
        <v>177</v>
      </c>
      <c r="G77" s="5" t="s">
        <v>144</v>
      </c>
      <c r="H77" s="7">
        <v>59</v>
      </c>
      <c r="I77" s="1">
        <v>50</v>
      </c>
      <c r="J77" s="8">
        <v>54</v>
      </c>
      <c r="K77" s="9">
        <f t="shared" ref="K77:K145" si="3">L77+M77</f>
        <v>56939.679999999993</v>
      </c>
      <c r="L77" s="9">
        <f>17627.09+8344.65+30967.94</f>
        <v>56939.679999999993</v>
      </c>
      <c r="M77" s="9"/>
      <c r="N77" s="1">
        <v>21</v>
      </c>
      <c r="O77" s="9">
        <f t="shared" si="1"/>
        <v>43651.49</v>
      </c>
      <c r="P77" s="9">
        <f>38547.18+3209.91+1894.4</f>
        <v>43651.49</v>
      </c>
      <c r="Q77" s="9"/>
      <c r="R77" s="10"/>
    </row>
    <row r="78" spans="1:18" ht="15" customHeight="1" x14ac:dyDescent="0.25">
      <c r="A78" s="6"/>
      <c r="B78" s="5" t="s">
        <v>69</v>
      </c>
      <c r="C78" s="6" t="s">
        <v>20</v>
      </c>
      <c r="D78" s="5"/>
      <c r="E78" s="5" t="s">
        <v>106</v>
      </c>
      <c r="F78" s="5" t="s">
        <v>125</v>
      </c>
      <c r="G78" s="5" t="s">
        <v>124</v>
      </c>
      <c r="H78" s="7">
        <v>0</v>
      </c>
      <c r="I78" s="1"/>
      <c r="J78" s="8"/>
      <c r="K78" s="9">
        <f t="shared" si="3"/>
        <v>0</v>
      </c>
      <c r="L78" s="9"/>
      <c r="M78" s="9"/>
      <c r="N78" s="1"/>
      <c r="O78" s="9">
        <f t="shared" si="1"/>
        <v>0</v>
      </c>
      <c r="P78" s="9"/>
      <c r="Q78" s="9"/>
      <c r="R78" s="10"/>
    </row>
    <row r="79" spans="1:18" ht="15" customHeight="1" x14ac:dyDescent="0.25">
      <c r="A79" s="6">
        <v>37</v>
      </c>
      <c r="B79" s="5" t="s">
        <v>70</v>
      </c>
      <c r="C79" s="6" t="s">
        <v>20</v>
      </c>
      <c r="D79" s="6"/>
      <c r="E79" s="5" t="s">
        <v>52</v>
      </c>
      <c r="F79" s="5" t="s">
        <v>178</v>
      </c>
      <c r="G79" s="5" t="s">
        <v>144</v>
      </c>
      <c r="H79" s="7">
        <v>19</v>
      </c>
      <c r="I79" s="1"/>
      <c r="J79" s="8"/>
      <c r="K79" s="9">
        <f t="shared" si="3"/>
        <v>0</v>
      </c>
      <c r="L79" s="9"/>
      <c r="M79" s="9"/>
      <c r="N79" s="1"/>
      <c r="O79" s="9">
        <f t="shared" si="1"/>
        <v>9226.2199999999993</v>
      </c>
      <c r="P79" s="9">
        <v>9226.2199999999993</v>
      </c>
      <c r="Q79" s="9"/>
      <c r="R79" s="10"/>
    </row>
    <row r="80" spans="1:18" ht="15" customHeight="1" x14ac:dyDescent="0.25">
      <c r="A80" s="6"/>
      <c r="B80" s="5" t="s">
        <v>70</v>
      </c>
      <c r="C80" s="6" t="s">
        <v>20</v>
      </c>
      <c r="D80" s="5"/>
      <c r="E80" s="5" t="s">
        <v>52</v>
      </c>
      <c r="F80" s="5" t="s">
        <v>125</v>
      </c>
      <c r="G80" s="5" t="s">
        <v>138</v>
      </c>
      <c r="H80" s="7">
        <v>1</v>
      </c>
      <c r="I80" s="2"/>
      <c r="J80" s="8"/>
      <c r="K80" s="9">
        <f t="shared" si="3"/>
        <v>0</v>
      </c>
      <c r="L80" s="9"/>
      <c r="M80" s="9"/>
      <c r="N80" s="2"/>
      <c r="O80" s="9">
        <f t="shared" si="1"/>
        <v>0</v>
      </c>
      <c r="P80" s="9">
        <v>0</v>
      </c>
      <c r="Q80" s="9"/>
      <c r="R80" s="10"/>
    </row>
    <row r="81" spans="1:18" ht="15" customHeight="1" x14ac:dyDescent="0.25">
      <c r="A81" s="6"/>
      <c r="B81" s="5" t="s">
        <v>70</v>
      </c>
      <c r="C81" s="6" t="s">
        <v>20</v>
      </c>
      <c r="D81" s="5"/>
      <c r="E81" s="5" t="s">
        <v>52</v>
      </c>
      <c r="F81" s="5" t="s">
        <v>258</v>
      </c>
      <c r="G81" s="5" t="s">
        <v>126</v>
      </c>
      <c r="H81" s="7">
        <v>4</v>
      </c>
      <c r="I81" s="2"/>
      <c r="J81" s="8"/>
      <c r="K81" s="9">
        <f t="shared" si="3"/>
        <v>0</v>
      </c>
      <c r="L81" s="9"/>
      <c r="M81" s="9"/>
      <c r="N81" s="2"/>
      <c r="O81" s="9">
        <f t="shared" si="1"/>
        <v>0</v>
      </c>
      <c r="P81" s="9">
        <v>0</v>
      </c>
      <c r="Q81" s="9"/>
      <c r="R81" s="10"/>
    </row>
    <row r="82" spans="1:18" ht="15" customHeight="1" x14ac:dyDescent="0.25">
      <c r="A82" s="6">
        <v>38</v>
      </c>
      <c r="B82" s="5" t="s">
        <v>129</v>
      </c>
      <c r="C82" s="6" t="s">
        <v>20</v>
      </c>
      <c r="D82" s="5"/>
      <c r="E82" s="5" t="s">
        <v>43</v>
      </c>
      <c r="F82" s="5" t="s">
        <v>242</v>
      </c>
      <c r="G82" s="5" t="s">
        <v>144</v>
      </c>
      <c r="H82" s="7">
        <v>21</v>
      </c>
      <c r="I82" s="2">
        <v>16</v>
      </c>
      <c r="J82" s="8">
        <v>20</v>
      </c>
      <c r="K82" s="9">
        <f t="shared" si="3"/>
        <v>10893.82</v>
      </c>
      <c r="L82" s="9">
        <f>6977.96+1729.44+2186.42</f>
        <v>10893.82</v>
      </c>
      <c r="M82" s="9"/>
      <c r="N82" s="2">
        <v>15</v>
      </c>
      <c r="O82" s="9">
        <f t="shared" si="1"/>
        <v>12716.59</v>
      </c>
      <c r="P82" s="9">
        <f>11862.49+475.2+378.9</f>
        <v>12716.59</v>
      </c>
      <c r="Q82" s="9"/>
      <c r="R82" s="10"/>
    </row>
    <row r="83" spans="1:18" ht="15" customHeight="1" x14ac:dyDescent="0.25">
      <c r="A83" s="6"/>
      <c r="B83" s="5" t="s">
        <v>129</v>
      </c>
      <c r="C83" s="6" t="s">
        <v>20</v>
      </c>
      <c r="D83" s="5"/>
      <c r="E83" s="5" t="s">
        <v>52</v>
      </c>
      <c r="F83" s="5" t="s">
        <v>221</v>
      </c>
      <c r="G83" s="5" t="s">
        <v>138</v>
      </c>
      <c r="H83" s="7">
        <v>43</v>
      </c>
      <c r="I83" s="2">
        <v>13</v>
      </c>
      <c r="J83" s="8">
        <v>13</v>
      </c>
      <c r="K83" s="9">
        <f t="shared" si="3"/>
        <v>10306.08</v>
      </c>
      <c r="L83" s="9">
        <v>10306.08</v>
      </c>
      <c r="M83" s="9"/>
      <c r="N83" s="2"/>
      <c r="O83" s="9">
        <f t="shared" si="1"/>
        <v>0</v>
      </c>
      <c r="P83" s="9">
        <v>0</v>
      </c>
      <c r="Q83" s="9"/>
      <c r="R83" s="10"/>
    </row>
    <row r="84" spans="1:18" ht="15" customHeight="1" x14ac:dyDescent="0.25">
      <c r="A84" s="6"/>
      <c r="B84" s="5" t="s">
        <v>129</v>
      </c>
      <c r="C84" s="6" t="s">
        <v>20</v>
      </c>
      <c r="D84" s="5"/>
      <c r="E84" s="5" t="s">
        <v>52</v>
      </c>
      <c r="F84" s="5" t="s">
        <v>261</v>
      </c>
      <c r="G84" s="5" t="s">
        <v>126</v>
      </c>
      <c r="H84" s="7">
        <v>8</v>
      </c>
      <c r="I84" s="2">
        <v>4</v>
      </c>
      <c r="J84" s="8">
        <v>4</v>
      </c>
      <c r="K84" s="9">
        <f t="shared" si="3"/>
        <v>1031.45</v>
      </c>
      <c r="L84" s="9">
        <v>1031.45</v>
      </c>
      <c r="M84" s="9"/>
      <c r="N84" s="2"/>
      <c r="O84" s="9">
        <f t="shared" ref="O84:O159" si="4">P84+Q84</f>
        <v>0</v>
      </c>
      <c r="P84" s="9">
        <v>0</v>
      </c>
      <c r="Q84" s="9"/>
      <c r="R84" s="10"/>
    </row>
    <row r="85" spans="1:18" ht="15" customHeight="1" x14ac:dyDescent="0.25">
      <c r="A85" s="24">
        <v>39</v>
      </c>
      <c r="B85" s="30" t="s">
        <v>71</v>
      </c>
      <c r="C85" s="24" t="s">
        <v>20</v>
      </c>
      <c r="D85" s="30"/>
      <c r="E85" s="30" t="s">
        <v>21</v>
      </c>
      <c r="F85" s="30" t="s">
        <v>179</v>
      </c>
      <c r="G85" s="30" t="s">
        <v>144</v>
      </c>
      <c r="H85" s="7">
        <v>3</v>
      </c>
      <c r="I85" s="1">
        <v>2</v>
      </c>
      <c r="J85" s="8">
        <v>3</v>
      </c>
      <c r="K85" s="9">
        <f t="shared" si="3"/>
        <v>1910.7</v>
      </c>
      <c r="L85" s="9">
        <f>1910.7</f>
        <v>1910.7</v>
      </c>
      <c r="M85" s="9"/>
      <c r="N85" s="1">
        <v>15</v>
      </c>
      <c r="O85" s="9">
        <f t="shared" si="4"/>
        <v>13213.19</v>
      </c>
      <c r="P85" s="9">
        <v>13213.19</v>
      </c>
      <c r="Q85" s="9"/>
      <c r="R85" s="10"/>
    </row>
    <row r="86" spans="1:18" ht="15.75" customHeight="1" x14ac:dyDescent="0.25">
      <c r="A86" s="24">
        <v>40</v>
      </c>
      <c r="B86" s="30" t="s">
        <v>72</v>
      </c>
      <c r="C86" s="24" t="s">
        <v>20</v>
      </c>
      <c r="D86" s="30"/>
      <c r="E86" s="30" t="s">
        <v>21</v>
      </c>
      <c r="F86" s="30" t="s">
        <v>180</v>
      </c>
      <c r="G86" s="30" t="s">
        <v>144</v>
      </c>
      <c r="H86" s="7">
        <v>33</v>
      </c>
      <c r="I86" s="1">
        <v>27</v>
      </c>
      <c r="J86" s="8">
        <v>28</v>
      </c>
      <c r="K86" s="9">
        <f t="shared" si="3"/>
        <v>20001.68</v>
      </c>
      <c r="L86" s="9">
        <f>13898.77+2163.58+3939.33</f>
        <v>20001.68</v>
      </c>
      <c r="M86" s="9"/>
      <c r="N86" s="1">
        <v>16</v>
      </c>
      <c r="O86" s="9">
        <f t="shared" si="4"/>
        <v>7923.68</v>
      </c>
      <c r="P86" s="9">
        <v>7923.68</v>
      </c>
      <c r="Q86" s="9"/>
      <c r="R86" s="10"/>
    </row>
    <row r="87" spans="1:18" ht="15" customHeight="1" x14ac:dyDescent="0.25">
      <c r="A87" s="24">
        <v>41</v>
      </c>
      <c r="B87" s="30" t="s">
        <v>73</v>
      </c>
      <c r="C87" s="24" t="s">
        <v>20</v>
      </c>
      <c r="D87" s="30"/>
      <c r="E87" s="30" t="s">
        <v>34</v>
      </c>
      <c r="F87" s="30" t="s">
        <v>181</v>
      </c>
      <c r="G87" s="30" t="s">
        <v>123</v>
      </c>
      <c r="H87" s="7">
        <v>19</v>
      </c>
      <c r="I87" s="1">
        <v>16</v>
      </c>
      <c r="J87" s="8">
        <v>20</v>
      </c>
      <c r="K87" s="9">
        <f t="shared" si="3"/>
        <v>24637.179999999997</v>
      </c>
      <c r="L87" s="9">
        <f>23047.67+1589.51</f>
        <v>24637.179999999997</v>
      </c>
      <c r="M87" s="9"/>
      <c r="N87" s="1">
        <v>11</v>
      </c>
      <c r="O87" s="9">
        <f t="shared" si="4"/>
        <v>17495.02</v>
      </c>
      <c r="P87" s="9">
        <f>14301.7+3193.32</f>
        <v>17495.02</v>
      </c>
      <c r="Q87" s="9"/>
      <c r="R87" s="10"/>
    </row>
    <row r="88" spans="1:18" ht="15" customHeight="1" x14ac:dyDescent="0.25">
      <c r="A88" s="6"/>
      <c r="B88" s="5" t="s">
        <v>73</v>
      </c>
      <c r="C88" s="6" t="s">
        <v>20</v>
      </c>
      <c r="D88" s="5"/>
      <c r="E88" s="5" t="s">
        <v>34</v>
      </c>
      <c r="F88" s="5" t="s">
        <v>276</v>
      </c>
      <c r="G88" s="5" t="s">
        <v>124</v>
      </c>
      <c r="H88" s="7">
        <v>7</v>
      </c>
      <c r="I88" s="1"/>
      <c r="J88" s="8"/>
      <c r="K88" s="9">
        <f t="shared" si="3"/>
        <v>0</v>
      </c>
      <c r="L88" s="9"/>
      <c r="M88" s="9"/>
      <c r="N88" s="1"/>
      <c r="O88" s="9">
        <f t="shared" si="4"/>
        <v>0</v>
      </c>
      <c r="P88" s="9">
        <v>0</v>
      </c>
      <c r="Q88" s="9"/>
      <c r="R88" s="10"/>
    </row>
    <row r="89" spans="1:18" ht="15" customHeight="1" x14ac:dyDescent="0.25">
      <c r="A89" s="6">
        <v>42</v>
      </c>
      <c r="B89" s="5" t="s">
        <v>74</v>
      </c>
      <c r="C89" s="6" t="s">
        <v>20</v>
      </c>
      <c r="D89" s="5"/>
      <c r="E89" s="5" t="s">
        <v>21</v>
      </c>
      <c r="F89" s="5" t="s">
        <v>267</v>
      </c>
      <c r="G89" s="5" t="s">
        <v>144</v>
      </c>
      <c r="H89" s="7">
        <v>8</v>
      </c>
      <c r="I89" s="1"/>
      <c r="J89" s="8"/>
      <c r="K89" s="9">
        <f t="shared" si="3"/>
        <v>0</v>
      </c>
      <c r="L89" s="9"/>
      <c r="M89" s="9"/>
      <c r="N89" s="1">
        <v>6</v>
      </c>
      <c r="O89" s="9">
        <f t="shared" si="4"/>
        <v>390.40999999999997</v>
      </c>
      <c r="P89" s="9">
        <v>390.40999999999997</v>
      </c>
      <c r="Q89" s="9"/>
      <c r="R89" s="10"/>
    </row>
    <row r="90" spans="1:18" ht="15" customHeight="1" x14ac:dyDescent="0.25">
      <c r="A90" s="6"/>
      <c r="B90" s="5" t="s">
        <v>74</v>
      </c>
      <c r="C90" s="6" t="s">
        <v>20</v>
      </c>
      <c r="D90" s="5"/>
      <c r="E90" s="5" t="s">
        <v>21</v>
      </c>
      <c r="F90" s="5" t="s">
        <v>266</v>
      </c>
      <c r="G90" s="5" t="s">
        <v>124</v>
      </c>
      <c r="H90" s="7">
        <v>6</v>
      </c>
      <c r="I90" s="1"/>
      <c r="J90" s="8"/>
      <c r="K90" s="9">
        <f t="shared" si="3"/>
        <v>0</v>
      </c>
      <c r="L90" s="9"/>
      <c r="M90" s="9"/>
      <c r="N90" s="1"/>
      <c r="O90" s="9">
        <f t="shared" si="4"/>
        <v>0</v>
      </c>
      <c r="P90" s="9">
        <v>0</v>
      </c>
      <c r="Q90" s="9"/>
      <c r="R90" s="10"/>
    </row>
    <row r="91" spans="1:18" ht="15" customHeight="1" x14ac:dyDescent="0.25">
      <c r="A91" s="6">
        <v>43</v>
      </c>
      <c r="B91" s="5" t="s">
        <v>75</v>
      </c>
      <c r="C91" s="6" t="s">
        <v>20</v>
      </c>
      <c r="D91" s="5"/>
      <c r="E91" s="5" t="s">
        <v>21</v>
      </c>
      <c r="F91" s="5"/>
      <c r="G91" s="5" t="s">
        <v>144</v>
      </c>
      <c r="H91" s="7">
        <v>0</v>
      </c>
      <c r="I91" s="1"/>
      <c r="J91" s="8"/>
      <c r="K91" s="9">
        <f t="shared" si="3"/>
        <v>0</v>
      </c>
      <c r="L91" s="9"/>
      <c r="M91" s="9"/>
      <c r="N91" s="1"/>
      <c r="O91" s="9">
        <f t="shared" si="4"/>
        <v>0</v>
      </c>
      <c r="P91" s="9">
        <v>0</v>
      </c>
      <c r="Q91" s="9"/>
      <c r="R91" s="10"/>
    </row>
    <row r="92" spans="1:18" ht="15" customHeight="1" x14ac:dyDescent="0.25">
      <c r="A92" s="6">
        <v>44</v>
      </c>
      <c r="B92" s="5" t="s">
        <v>76</v>
      </c>
      <c r="C92" s="6" t="s">
        <v>20</v>
      </c>
      <c r="D92" s="5"/>
      <c r="E92" s="5" t="s">
        <v>21</v>
      </c>
      <c r="F92" s="5" t="s">
        <v>182</v>
      </c>
      <c r="G92" s="5" t="s">
        <v>144</v>
      </c>
      <c r="H92" s="7">
        <v>48</v>
      </c>
      <c r="I92" s="1">
        <v>37</v>
      </c>
      <c r="J92" s="8">
        <v>40</v>
      </c>
      <c r="K92" s="9">
        <f t="shared" si="3"/>
        <v>19766.59</v>
      </c>
      <c r="L92" s="9">
        <f>10017.44+9749.15</f>
        <v>19766.59</v>
      </c>
      <c r="M92" s="9"/>
      <c r="N92" s="1">
        <v>36</v>
      </c>
      <c r="O92" s="9">
        <f t="shared" si="4"/>
        <v>24011.25</v>
      </c>
      <c r="P92" s="9">
        <v>24011.25</v>
      </c>
      <c r="Q92" s="9"/>
      <c r="R92" s="10"/>
    </row>
    <row r="93" spans="1:18" ht="15" customHeight="1" x14ac:dyDescent="0.25">
      <c r="A93" s="6">
        <v>45</v>
      </c>
      <c r="B93" s="5" t="s">
        <v>77</v>
      </c>
      <c r="C93" s="6" t="s">
        <v>20</v>
      </c>
      <c r="D93" s="5"/>
      <c r="E93" s="5" t="s">
        <v>78</v>
      </c>
      <c r="F93" s="5" t="s">
        <v>183</v>
      </c>
      <c r="G93" s="5" t="s">
        <v>144</v>
      </c>
      <c r="H93" s="7">
        <v>46</v>
      </c>
      <c r="I93" s="1">
        <v>36</v>
      </c>
      <c r="J93" s="8">
        <v>44</v>
      </c>
      <c r="K93" s="9">
        <f t="shared" si="3"/>
        <v>38329.020000000004</v>
      </c>
      <c r="L93" s="9">
        <f>21453.49+16875.53</f>
        <v>38329.020000000004</v>
      </c>
      <c r="M93" s="9"/>
      <c r="N93" s="1">
        <v>72</v>
      </c>
      <c r="O93" s="9">
        <f>P93+Q93</f>
        <v>142797.01999999999</v>
      </c>
      <c r="P93" s="9">
        <f>133215.31+8322.08+572.56+687.07</f>
        <v>142797.01999999999</v>
      </c>
      <c r="Q93" s="9"/>
      <c r="R93" s="10"/>
    </row>
    <row r="94" spans="1:18" ht="13.15" customHeight="1" x14ac:dyDescent="0.25">
      <c r="A94" s="6"/>
      <c r="B94" s="5" t="s">
        <v>77</v>
      </c>
      <c r="C94" s="6" t="s">
        <v>20</v>
      </c>
      <c r="D94" s="5"/>
      <c r="E94" s="5" t="s">
        <v>135</v>
      </c>
      <c r="F94" s="5" t="s">
        <v>253</v>
      </c>
      <c r="G94" s="5" t="s">
        <v>133</v>
      </c>
      <c r="H94" s="7">
        <v>54</v>
      </c>
      <c r="I94" s="1">
        <v>34</v>
      </c>
      <c r="J94" s="8">
        <v>34</v>
      </c>
      <c r="K94" s="9">
        <f t="shared" si="3"/>
        <v>26679.91</v>
      </c>
      <c r="L94" s="9">
        <v>26679.91</v>
      </c>
      <c r="M94" s="9"/>
      <c r="N94" s="1"/>
      <c r="O94" s="9">
        <v>0</v>
      </c>
      <c r="P94" s="9">
        <v>0</v>
      </c>
      <c r="Q94" s="9"/>
      <c r="R94" s="10"/>
    </row>
    <row r="95" spans="1:18" ht="15" customHeight="1" x14ac:dyDescent="0.25">
      <c r="A95" s="6"/>
      <c r="B95" s="5" t="s">
        <v>142</v>
      </c>
      <c r="C95" s="6" t="s">
        <v>20</v>
      </c>
      <c r="D95" s="5"/>
      <c r="E95" s="5" t="s">
        <v>78</v>
      </c>
      <c r="F95" s="5" t="s">
        <v>233</v>
      </c>
      <c r="G95" s="5" t="s">
        <v>138</v>
      </c>
      <c r="H95" s="7">
        <v>90</v>
      </c>
      <c r="I95" s="2">
        <v>50</v>
      </c>
      <c r="J95" s="8">
        <v>50</v>
      </c>
      <c r="K95" s="9">
        <f t="shared" si="3"/>
        <v>44408.28</v>
      </c>
      <c r="L95" s="9">
        <v>44408.28</v>
      </c>
      <c r="M95" s="9"/>
      <c r="N95" s="2"/>
      <c r="O95" s="9">
        <f>P95+Q95</f>
        <v>0</v>
      </c>
      <c r="P95" s="9">
        <v>0</v>
      </c>
      <c r="Q95" s="9"/>
      <c r="R95" s="10"/>
    </row>
    <row r="96" spans="1:18" ht="15" customHeight="1" x14ac:dyDescent="0.25">
      <c r="A96" s="6">
        <v>46</v>
      </c>
      <c r="B96" s="5" t="s">
        <v>270</v>
      </c>
      <c r="C96" s="6" t="s">
        <v>20</v>
      </c>
      <c r="D96" s="5"/>
      <c r="E96" s="5" t="s">
        <v>134</v>
      </c>
      <c r="F96" s="5" t="s">
        <v>271</v>
      </c>
      <c r="G96" s="5" t="s">
        <v>144</v>
      </c>
      <c r="H96" s="7">
        <v>0</v>
      </c>
      <c r="I96" s="2"/>
      <c r="J96" s="8"/>
      <c r="K96" s="9">
        <f t="shared" si="3"/>
        <v>0</v>
      </c>
      <c r="L96" s="9"/>
      <c r="M96" s="9"/>
      <c r="N96" s="2">
        <v>16</v>
      </c>
      <c r="O96" s="9">
        <f>P96+Q96</f>
        <v>0</v>
      </c>
      <c r="P96" s="9">
        <v>0</v>
      </c>
      <c r="Q96" s="9"/>
      <c r="R96" s="10"/>
    </row>
    <row r="97" spans="1:18" ht="15" customHeight="1" x14ac:dyDescent="0.25">
      <c r="A97" s="6"/>
      <c r="B97" s="5" t="s">
        <v>270</v>
      </c>
      <c r="C97" s="6" t="s">
        <v>20</v>
      </c>
      <c r="D97" s="5"/>
      <c r="E97" s="5" t="s">
        <v>134</v>
      </c>
      <c r="F97" s="5" t="s">
        <v>274</v>
      </c>
      <c r="G97" s="5" t="s">
        <v>133</v>
      </c>
      <c r="H97" s="7">
        <v>18</v>
      </c>
      <c r="I97" s="2">
        <v>10</v>
      </c>
      <c r="J97" s="8">
        <v>11</v>
      </c>
      <c r="K97" s="9">
        <f t="shared" si="3"/>
        <v>2303.4</v>
      </c>
      <c r="L97" s="9">
        <v>2303.4</v>
      </c>
      <c r="M97" s="9"/>
      <c r="N97" s="2"/>
      <c r="O97" s="9"/>
      <c r="P97" s="9"/>
      <c r="Q97" s="9"/>
      <c r="R97" s="10"/>
    </row>
    <row r="98" spans="1:18" ht="15" customHeight="1" x14ac:dyDescent="0.25">
      <c r="A98" s="6"/>
      <c r="B98" s="5" t="s">
        <v>270</v>
      </c>
      <c r="C98" s="6" t="s">
        <v>20</v>
      </c>
      <c r="D98" s="5"/>
      <c r="E98" s="5" t="s">
        <v>134</v>
      </c>
      <c r="F98" s="5" t="s">
        <v>287</v>
      </c>
      <c r="G98" s="5" t="s">
        <v>124</v>
      </c>
      <c r="H98" s="7">
        <v>11</v>
      </c>
      <c r="I98" s="2">
        <v>4</v>
      </c>
      <c r="J98" s="8">
        <v>4</v>
      </c>
      <c r="K98" s="9">
        <f t="shared" si="3"/>
        <v>5550.3</v>
      </c>
      <c r="L98" s="9">
        <v>5550.3</v>
      </c>
      <c r="M98" s="9"/>
      <c r="N98" s="2"/>
      <c r="O98" s="9"/>
      <c r="P98" s="9"/>
      <c r="Q98" s="9"/>
      <c r="R98" s="10"/>
    </row>
    <row r="99" spans="1:18" ht="30.75" customHeight="1" x14ac:dyDescent="0.25">
      <c r="A99" s="6">
        <v>47</v>
      </c>
      <c r="B99" s="5" t="s">
        <v>80</v>
      </c>
      <c r="C99" s="6" t="s">
        <v>20</v>
      </c>
      <c r="D99" s="5" t="s">
        <v>279</v>
      </c>
      <c r="E99" s="5" t="s">
        <v>21</v>
      </c>
      <c r="F99" s="5" t="s">
        <v>184</v>
      </c>
      <c r="G99" s="5" t="s">
        <v>144</v>
      </c>
      <c r="H99" s="7">
        <v>58</v>
      </c>
      <c r="I99" s="1">
        <v>50</v>
      </c>
      <c r="J99" s="8">
        <v>61</v>
      </c>
      <c r="K99" s="9">
        <f t="shared" si="3"/>
        <v>35145.72</v>
      </c>
      <c r="L99" s="9">
        <f>16485.59+7310.55+11349.58</f>
        <v>35145.72</v>
      </c>
      <c r="M99" s="9"/>
      <c r="N99" s="1">
        <v>21</v>
      </c>
      <c r="O99" s="9">
        <f t="shared" si="4"/>
        <v>39883.15</v>
      </c>
      <c r="P99" s="9">
        <f>39453.73+429.42</f>
        <v>39883.15</v>
      </c>
      <c r="Q99" s="9"/>
      <c r="R99" s="10"/>
    </row>
    <row r="100" spans="1:18" ht="15" customHeight="1" x14ac:dyDescent="0.25">
      <c r="A100" s="6"/>
      <c r="B100" s="5" t="s">
        <v>80</v>
      </c>
      <c r="C100" s="6" t="s">
        <v>20</v>
      </c>
      <c r="D100" s="5"/>
      <c r="E100" s="5" t="s">
        <v>21</v>
      </c>
      <c r="F100" s="5" t="s">
        <v>122</v>
      </c>
      <c r="G100" s="5" t="s">
        <v>133</v>
      </c>
      <c r="H100" s="7">
        <v>0</v>
      </c>
      <c r="I100" s="1"/>
      <c r="J100" s="8"/>
      <c r="K100" s="9">
        <f t="shared" si="3"/>
        <v>0</v>
      </c>
      <c r="L100" s="9"/>
      <c r="M100" s="9"/>
      <c r="N100" s="1"/>
      <c r="O100" s="9">
        <f t="shared" si="4"/>
        <v>0</v>
      </c>
      <c r="P100" s="9">
        <v>0</v>
      </c>
      <c r="Q100" s="9"/>
      <c r="R100" s="10"/>
    </row>
    <row r="101" spans="1:18" ht="15" customHeight="1" x14ac:dyDescent="0.25">
      <c r="A101" s="6"/>
      <c r="B101" s="5" t="s">
        <v>80</v>
      </c>
      <c r="C101" s="6" t="s">
        <v>20</v>
      </c>
      <c r="D101" s="5"/>
      <c r="E101" s="5" t="s">
        <v>21</v>
      </c>
      <c r="F101" s="5" t="s">
        <v>122</v>
      </c>
      <c r="G101" s="5" t="s">
        <v>124</v>
      </c>
      <c r="H101" s="7">
        <v>0</v>
      </c>
      <c r="I101" s="1"/>
      <c r="J101" s="8"/>
      <c r="K101" s="9">
        <f t="shared" si="3"/>
        <v>0</v>
      </c>
      <c r="L101" s="9"/>
      <c r="M101" s="9"/>
      <c r="N101" s="1"/>
      <c r="O101" s="9">
        <f t="shared" si="4"/>
        <v>0</v>
      </c>
      <c r="P101" s="9">
        <v>0</v>
      </c>
      <c r="Q101" s="9"/>
      <c r="R101" s="10"/>
    </row>
    <row r="102" spans="1:18" ht="15" customHeight="1" x14ac:dyDescent="0.25">
      <c r="A102" s="6">
        <v>48</v>
      </c>
      <c r="B102" s="5" t="s">
        <v>81</v>
      </c>
      <c r="C102" s="6" t="s">
        <v>20</v>
      </c>
      <c r="D102" s="5"/>
      <c r="E102" s="5" t="s">
        <v>21</v>
      </c>
      <c r="F102" s="5"/>
      <c r="G102" s="5" t="s">
        <v>144</v>
      </c>
      <c r="H102" s="7">
        <v>0</v>
      </c>
      <c r="I102" s="1"/>
      <c r="J102" s="8"/>
      <c r="K102" s="9">
        <f t="shared" si="3"/>
        <v>0</v>
      </c>
      <c r="L102" s="9"/>
      <c r="M102" s="9"/>
      <c r="N102" s="1"/>
      <c r="O102" s="9">
        <f t="shared" si="4"/>
        <v>0</v>
      </c>
      <c r="P102" s="9">
        <v>0</v>
      </c>
      <c r="Q102" s="9"/>
      <c r="R102" s="10"/>
    </row>
    <row r="103" spans="1:18" ht="15" customHeight="1" x14ac:dyDescent="0.25">
      <c r="A103" s="6">
        <v>49</v>
      </c>
      <c r="B103" s="5" t="s">
        <v>82</v>
      </c>
      <c r="C103" s="6" t="s">
        <v>20</v>
      </c>
      <c r="D103" s="5"/>
      <c r="E103" s="5" t="s">
        <v>21</v>
      </c>
      <c r="F103" s="5" t="s">
        <v>246</v>
      </c>
      <c r="G103" s="5" t="s">
        <v>144</v>
      </c>
      <c r="H103" s="7">
        <v>54</v>
      </c>
      <c r="I103" s="1">
        <v>49</v>
      </c>
      <c r="J103" s="8">
        <v>56</v>
      </c>
      <c r="K103" s="9">
        <f t="shared" si="3"/>
        <v>30031.379999999997</v>
      </c>
      <c r="L103" s="9">
        <f>10232.03+19799.35</f>
        <v>30031.379999999997</v>
      </c>
      <c r="M103" s="9"/>
      <c r="N103" s="1">
        <v>21</v>
      </c>
      <c r="O103" s="9">
        <f t="shared" si="4"/>
        <v>45469.390000000007</v>
      </c>
      <c r="P103" s="9">
        <f>30037.58+13921.3+1510.51</f>
        <v>45469.390000000007</v>
      </c>
      <c r="Q103" s="9"/>
      <c r="R103" s="10"/>
    </row>
    <row r="104" spans="1:18" ht="15" customHeight="1" x14ac:dyDescent="0.25">
      <c r="A104" s="6"/>
      <c r="B104" s="5" t="s">
        <v>82</v>
      </c>
      <c r="C104" s="6" t="s">
        <v>20</v>
      </c>
      <c r="D104" s="5"/>
      <c r="E104" s="5" t="s">
        <v>21</v>
      </c>
      <c r="F104" s="5" t="s">
        <v>122</v>
      </c>
      <c r="G104" s="5" t="s">
        <v>124</v>
      </c>
      <c r="H104" s="7">
        <v>0</v>
      </c>
      <c r="I104" s="1"/>
      <c r="J104" s="8"/>
      <c r="K104" s="9">
        <f t="shared" si="3"/>
        <v>0</v>
      </c>
      <c r="L104" s="9"/>
      <c r="M104" s="9"/>
      <c r="N104" s="1"/>
      <c r="O104" s="9">
        <f t="shared" si="4"/>
        <v>0</v>
      </c>
      <c r="P104" s="9">
        <v>0</v>
      </c>
      <c r="Q104" s="9"/>
      <c r="R104" s="10"/>
    </row>
    <row r="105" spans="1:18" ht="15" customHeight="1" x14ac:dyDescent="0.25">
      <c r="A105" s="6">
        <v>50</v>
      </c>
      <c r="B105" s="5" t="s">
        <v>83</v>
      </c>
      <c r="C105" s="6" t="s">
        <v>20</v>
      </c>
      <c r="D105" s="5"/>
      <c r="E105" s="5" t="s">
        <v>21</v>
      </c>
      <c r="F105" s="5" t="s">
        <v>185</v>
      </c>
      <c r="G105" s="5" t="s">
        <v>144</v>
      </c>
      <c r="H105" s="7">
        <v>25</v>
      </c>
      <c r="I105" s="1">
        <v>15</v>
      </c>
      <c r="J105" s="8">
        <v>19</v>
      </c>
      <c r="K105" s="9">
        <f t="shared" si="3"/>
        <v>8197.93</v>
      </c>
      <c r="L105" s="9">
        <f>4636.21+3561.72</f>
        <v>8197.93</v>
      </c>
      <c r="M105" s="9"/>
      <c r="N105" s="1">
        <v>7</v>
      </c>
      <c r="O105" s="9">
        <f t="shared" si="4"/>
        <v>7686.28</v>
      </c>
      <c r="P105" s="9">
        <v>7686.28</v>
      </c>
      <c r="Q105" s="9"/>
      <c r="R105" s="10"/>
    </row>
    <row r="106" spans="1:18" ht="15" customHeight="1" x14ac:dyDescent="0.25">
      <c r="A106" s="6"/>
      <c r="B106" s="5" t="s">
        <v>83</v>
      </c>
      <c r="C106" s="6" t="s">
        <v>20</v>
      </c>
      <c r="D106" s="5"/>
      <c r="E106" s="5" t="s">
        <v>21</v>
      </c>
      <c r="F106" s="5" t="s">
        <v>286</v>
      </c>
      <c r="G106" s="5" t="s">
        <v>124</v>
      </c>
      <c r="H106" s="7">
        <v>5</v>
      </c>
      <c r="I106" s="1"/>
      <c r="J106" s="8"/>
      <c r="K106" s="9"/>
      <c r="L106" s="9"/>
      <c r="M106" s="9"/>
      <c r="N106" s="1"/>
      <c r="O106" s="9"/>
      <c r="P106" s="9"/>
      <c r="Q106" s="9"/>
      <c r="R106" s="10"/>
    </row>
    <row r="107" spans="1:18" ht="15" customHeight="1" x14ac:dyDescent="0.25">
      <c r="A107" s="6">
        <v>51</v>
      </c>
      <c r="B107" s="5" t="s">
        <v>84</v>
      </c>
      <c r="C107" s="6" t="s">
        <v>20</v>
      </c>
      <c r="D107" s="5"/>
      <c r="E107" s="5" t="s">
        <v>21</v>
      </c>
      <c r="F107" s="5" t="s">
        <v>186</v>
      </c>
      <c r="G107" s="5" t="s">
        <v>144</v>
      </c>
      <c r="H107" s="7">
        <v>47</v>
      </c>
      <c r="I107" s="1">
        <v>43</v>
      </c>
      <c r="J107" s="8">
        <v>44</v>
      </c>
      <c r="K107" s="9">
        <f t="shared" si="3"/>
        <v>23105.43</v>
      </c>
      <c r="L107" s="9">
        <f>13524.87+4019.52+5561.04</f>
        <v>23105.43</v>
      </c>
      <c r="M107" s="9"/>
      <c r="N107" s="1">
        <v>16</v>
      </c>
      <c r="O107" s="9">
        <f t="shared" si="4"/>
        <v>22918.94</v>
      </c>
      <c r="P107" s="9">
        <f>19094.34+3824.6</f>
        <v>22918.94</v>
      </c>
      <c r="Q107" s="9"/>
      <c r="R107" s="10"/>
    </row>
    <row r="108" spans="1:18" ht="15" customHeight="1" x14ac:dyDescent="0.25">
      <c r="A108" s="6"/>
      <c r="B108" s="5" t="s">
        <v>84</v>
      </c>
      <c r="C108" s="6" t="s">
        <v>20</v>
      </c>
      <c r="D108" s="5"/>
      <c r="E108" s="5" t="s">
        <v>21</v>
      </c>
      <c r="F108" s="5" t="s">
        <v>229</v>
      </c>
      <c r="G108" s="5" t="s">
        <v>124</v>
      </c>
      <c r="H108" s="7">
        <v>6</v>
      </c>
      <c r="I108" s="1">
        <v>2</v>
      </c>
      <c r="J108" s="8">
        <v>2</v>
      </c>
      <c r="K108" s="9">
        <f t="shared" si="3"/>
        <v>1477.8</v>
      </c>
      <c r="L108" s="9">
        <v>1477.8</v>
      </c>
      <c r="M108" s="9"/>
      <c r="N108" s="1"/>
      <c r="O108" s="9">
        <f t="shared" si="4"/>
        <v>0</v>
      </c>
      <c r="P108" s="9">
        <v>0</v>
      </c>
      <c r="Q108" s="9"/>
      <c r="R108" s="10"/>
    </row>
    <row r="109" spans="1:18" ht="14.45" customHeight="1" x14ac:dyDescent="0.25">
      <c r="A109" s="6">
        <v>52</v>
      </c>
      <c r="B109" s="5" t="s">
        <v>85</v>
      </c>
      <c r="C109" s="6" t="s">
        <v>32</v>
      </c>
      <c r="D109" s="5" t="s">
        <v>187</v>
      </c>
      <c r="E109" s="5" t="s">
        <v>21</v>
      </c>
      <c r="F109" s="5" t="s">
        <v>188</v>
      </c>
      <c r="G109" s="5" t="s">
        <v>144</v>
      </c>
      <c r="H109" s="7">
        <v>54</v>
      </c>
      <c r="I109" s="1">
        <v>44</v>
      </c>
      <c r="J109" s="8">
        <v>48</v>
      </c>
      <c r="K109" s="9">
        <f t="shared" si="3"/>
        <v>36486.58</v>
      </c>
      <c r="L109" s="9">
        <f>16707.44+6256.1+13523.04</f>
        <v>36486.58</v>
      </c>
      <c r="M109" s="9"/>
      <c r="N109" s="1">
        <v>11</v>
      </c>
      <c r="O109" s="9">
        <f t="shared" si="4"/>
        <v>17802.02</v>
      </c>
      <c r="P109" s="9">
        <f>8461.29+9340.73</f>
        <v>17802.02</v>
      </c>
      <c r="Q109" s="9"/>
      <c r="R109" s="10"/>
    </row>
    <row r="110" spans="1:18" ht="15" customHeight="1" x14ac:dyDescent="0.25">
      <c r="A110" s="6">
        <v>53</v>
      </c>
      <c r="B110" s="5" t="s">
        <v>86</v>
      </c>
      <c r="C110" s="6" t="s">
        <v>20</v>
      </c>
      <c r="D110" s="5"/>
      <c r="E110" s="5" t="s">
        <v>21</v>
      </c>
      <c r="F110" s="5" t="s">
        <v>189</v>
      </c>
      <c r="G110" s="5" t="s">
        <v>144</v>
      </c>
      <c r="H110" s="7">
        <v>39</v>
      </c>
      <c r="I110" s="1">
        <v>33</v>
      </c>
      <c r="J110" s="8">
        <v>38</v>
      </c>
      <c r="K110" s="9">
        <f t="shared" si="3"/>
        <v>20424.09</v>
      </c>
      <c r="L110" s="9">
        <f>15620.37+2339.08+2464.64</f>
        <v>20424.09</v>
      </c>
      <c r="M110" s="9"/>
      <c r="N110" s="1">
        <v>8</v>
      </c>
      <c r="O110" s="9">
        <f t="shared" si="4"/>
        <v>13561.21</v>
      </c>
      <c r="P110" s="9">
        <v>13561.21</v>
      </c>
      <c r="Q110" s="9"/>
      <c r="R110" s="10"/>
    </row>
    <row r="111" spans="1:18" ht="15" customHeight="1" x14ac:dyDescent="0.25">
      <c r="A111" s="6"/>
      <c r="B111" s="5" t="s">
        <v>86</v>
      </c>
      <c r="C111" s="6" t="s">
        <v>20</v>
      </c>
      <c r="D111" s="5"/>
      <c r="E111" s="5" t="s">
        <v>21</v>
      </c>
      <c r="F111" s="5" t="s">
        <v>265</v>
      </c>
      <c r="G111" s="5" t="s">
        <v>124</v>
      </c>
      <c r="H111" s="7">
        <v>6</v>
      </c>
      <c r="I111" s="1"/>
      <c r="J111" s="8"/>
      <c r="K111" s="9">
        <f t="shared" si="3"/>
        <v>0</v>
      </c>
      <c r="L111" s="9"/>
      <c r="M111" s="9"/>
      <c r="N111" s="1"/>
      <c r="O111" s="9">
        <f t="shared" si="4"/>
        <v>0</v>
      </c>
      <c r="P111" s="9">
        <v>0</v>
      </c>
      <c r="Q111" s="9"/>
      <c r="R111" s="10"/>
    </row>
    <row r="112" spans="1:18" ht="15" customHeight="1" x14ac:dyDescent="0.25">
      <c r="A112" s="6">
        <v>54</v>
      </c>
      <c r="B112" s="5" t="s">
        <v>87</v>
      </c>
      <c r="C112" s="6" t="s">
        <v>20</v>
      </c>
      <c r="D112" s="5"/>
      <c r="E112" s="5" t="s">
        <v>79</v>
      </c>
      <c r="F112" s="5" t="s">
        <v>190</v>
      </c>
      <c r="G112" s="5" t="s">
        <v>144</v>
      </c>
      <c r="H112" s="7">
        <v>39</v>
      </c>
      <c r="I112" s="1">
        <v>33</v>
      </c>
      <c r="J112" s="8">
        <v>37</v>
      </c>
      <c r="K112" s="9">
        <f t="shared" si="3"/>
        <v>12070.13</v>
      </c>
      <c r="L112" s="9">
        <f>6849.36+4862.92+357.85</f>
        <v>12070.13</v>
      </c>
      <c r="M112" s="9"/>
      <c r="N112" s="1">
        <v>36</v>
      </c>
      <c r="O112" s="9">
        <f t="shared" si="4"/>
        <v>32234.54</v>
      </c>
      <c r="P112" s="9">
        <f>30697.89+1536.65</f>
        <v>32234.54</v>
      </c>
      <c r="Q112" s="9"/>
      <c r="R112" s="10"/>
    </row>
    <row r="113" spans="1:18" ht="15" customHeight="1" x14ac:dyDescent="0.25">
      <c r="A113" s="6"/>
      <c r="B113" s="5" t="s">
        <v>87</v>
      </c>
      <c r="C113" s="6" t="s">
        <v>20</v>
      </c>
      <c r="D113" s="5"/>
      <c r="E113" s="5" t="s">
        <v>136</v>
      </c>
      <c r="F113" s="5" t="s">
        <v>254</v>
      </c>
      <c r="G113" s="5" t="s">
        <v>133</v>
      </c>
      <c r="H113" s="7">
        <v>49</v>
      </c>
      <c r="I113" s="1">
        <v>9</v>
      </c>
      <c r="J113" s="8">
        <v>9</v>
      </c>
      <c r="K113" s="9">
        <f t="shared" si="3"/>
        <v>5469.97</v>
      </c>
      <c r="L113" s="9">
        <v>5469.97</v>
      </c>
      <c r="M113" s="9"/>
      <c r="N113" s="1"/>
      <c r="O113" s="9">
        <f t="shared" si="4"/>
        <v>0</v>
      </c>
      <c r="P113" s="9">
        <v>0</v>
      </c>
      <c r="Q113" s="9"/>
      <c r="R113" s="10"/>
    </row>
    <row r="114" spans="1:18" ht="15" customHeight="1" x14ac:dyDescent="0.25">
      <c r="A114" s="6">
        <v>55</v>
      </c>
      <c r="B114" s="5" t="s">
        <v>88</v>
      </c>
      <c r="C114" s="6" t="s">
        <v>20</v>
      </c>
      <c r="D114" s="5"/>
      <c r="E114" s="5" t="s">
        <v>79</v>
      </c>
      <c r="F114" s="5" t="s">
        <v>191</v>
      </c>
      <c r="G114" s="5" t="s">
        <v>144</v>
      </c>
      <c r="H114" s="7">
        <v>33</v>
      </c>
      <c r="I114" s="1">
        <v>27</v>
      </c>
      <c r="J114" s="8">
        <v>35</v>
      </c>
      <c r="K114" s="9">
        <f t="shared" si="3"/>
        <v>22378.5</v>
      </c>
      <c r="L114" s="9">
        <f>10027.12+8547.89+3803.49</f>
        <v>22378.5</v>
      </c>
      <c r="M114" s="9"/>
      <c r="N114" s="1">
        <v>13</v>
      </c>
      <c r="O114" s="9">
        <f t="shared" si="4"/>
        <v>25768.39</v>
      </c>
      <c r="P114" s="9">
        <f>22210.72+442.64+2781.6+333.43</f>
        <v>25768.39</v>
      </c>
      <c r="Q114" s="9"/>
      <c r="R114" s="10"/>
    </row>
    <row r="115" spans="1:18" ht="15" customHeight="1" x14ac:dyDescent="0.25">
      <c r="A115" s="6"/>
      <c r="B115" s="5" t="s">
        <v>88</v>
      </c>
      <c r="C115" s="6" t="s">
        <v>20</v>
      </c>
      <c r="D115" s="5"/>
      <c r="E115" s="5" t="s">
        <v>136</v>
      </c>
      <c r="F115" s="5" t="s">
        <v>255</v>
      </c>
      <c r="G115" s="5" t="s">
        <v>133</v>
      </c>
      <c r="H115" s="7">
        <v>11</v>
      </c>
      <c r="I115" s="1">
        <v>1</v>
      </c>
      <c r="J115" s="8">
        <v>1</v>
      </c>
      <c r="K115" s="9">
        <f t="shared" si="3"/>
        <v>997.8</v>
      </c>
      <c r="L115" s="9">
        <v>997.8</v>
      </c>
      <c r="M115" s="9"/>
      <c r="N115" s="1"/>
      <c r="O115" s="9">
        <f t="shared" si="4"/>
        <v>0</v>
      </c>
      <c r="P115" s="9">
        <v>0</v>
      </c>
      <c r="Q115" s="9"/>
      <c r="R115" s="10"/>
    </row>
    <row r="116" spans="1:18" ht="28.9" customHeight="1" x14ac:dyDescent="0.25">
      <c r="A116" s="27">
        <v>56</v>
      </c>
      <c r="B116" s="28" t="s">
        <v>89</v>
      </c>
      <c r="C116" s="27" t="s">
        <v>54</v>
      </c>
      <c r="D116" s="28" t="s">
        <v>90</v>
      </c>
      <c r="E116" s="28" t="s">
        <v>21</v>
      </c>
      <c r="F116" s="28" t="s">
        <v>192</v>
      </c>
      <c r="G116" s="28" t="s">
        <v>144</v>
      </c>
      <c r="H116" s="7">
        <v>5</v>
      </c>
      <c r="I116" s="1">
        <v>7</v>
      </c>
      <c r="J116" s="8">
        <v>7</v>
      </c>
      <c r="K116" s="9">
        <f t="shared" si="3"/>
        <v>2474.62</v>
      </c>
      <c r="L116" s="9">
        <v>2474.62</v>
      </c>
      <c r="M116" s="9"/>
      <c r="N116" s="1">
        <v>10</v>
      </c>
      <c r="O116" s="9">
        <f t="shared" si="4"/>
        <v>33683.460000000006</v>
      </c>
      <c r="P116" s="9">
        <f>33241.41+442.05</f>
        <v>33683.460000000006</v>
      </c>
      <c r="Q116" s="9"/>
      <c r="R116" s="10"/>
    </row>
    <row r="117" spans="1:18" ht="29.25" customHeight="1" x14ac:dyDescent="0.25">
      <c r="A117" s="27"/>
      <c r="B117" s="28" t="s">
        <v>89</v>
      </c>
      <c r="C117" s="27" t="s">
        <v>54</v>
      </c>
      <c r="D117" s="28" t="s">
        <v>90</v>
      </c>
      <c r="E117" s="28" t="s">
        <v>21</v>
      </c>
      <c r="F117" s="28" t="s">
        <v>237</v>
      </c>
      <c r="G117" s="28" t="s">
        <v>124</v>
      </c>
      <c r="H117" s="7">
        <v>32</v>
      </c>
      <c r="I117" s="1">
        <v>13</v>
      </c>
      <c r="J117" s="8">
        <v>14</v>
      </c>
      <c r="K117" s="9">
        <f t="shared" si="3"/>
        <v>6276.85</v>
      </c>
      <c r="L117" s="9">
        <v>6276.85</v>
      </c>
      <c r="M117" s="9"/>
      <c r="N117" s="1"/>
      <c r="O117" s="9">
        <f t="shared" si="4"/>
        <v>0</v>
      </c>
      <c r="P117" s="9">
        <v>0</v>
      </c>
      <c r="Q117" s="9"/>
      <c r="R117" s="10"/>
    </row>
    <row r="118" spans="1:18" ht="26.25" customHeight="1" x14ac:dyDescent="0.25">
      <c r="A118" s="6">
        <v>57</v>
      </c>
      <c r="B118" s="5" t="s">
        <v>91</v>
      </c>
      <c r="C118" s="6" t="s">
        <v>20</v>
      </c>
      <c r="D118" s="5"/>
      <c r="E118" s="5" t="s">
        <v>21</v>
      </c>
      <c r="F118" s="5" t="s">
        <v>193</v>
      </c>
      <c r="G118" s="5" t="s">
        <v>144</v>
      </c>
      <c r="H118" s="7">
        <v>39</v>
      </c>
      <c r="I118" s="1">
        <v>31</v>
      </c>
      <c r="J118" s="8">
        <v>34</v>
      </c>
      <c r="K118" s="9">
        <f t="shared" si="3"/>
        <v>15855.98</v>
      </c>
      <c r="L118" s="9">
        <f>840+3285.9+6086.47+5643.61</f>
        <v>15855.98</v>
      </c>
      <c r="M118" s="9"/>
      <c r="N118" s="1">
        <v>10</v>
      </c>
      <c r="O118" s="9">
        <f t="shared" si="4"/>
        <v>10718.74</v>
      </c>
      <c r="P118" s="9">
        <f>9774.02+944.72</f>
        <v>10718.74</v>
      </c>
      <c r="Q118" s="9"/>
      <c r="R118" s="10"/>
    </row>
    <row r="119" spans="1:18" ht="15" customHeight="1" x14ac:dyDescent="0.25">
      <c r="A119" s="6"/>
      <c r="B119" s="5" t="s">
        <v>91</v>
      </c>
      <c r="C119" s="6" t="s">
        <v>20</v>
      </c>
      <c r="D119" s="5"/>
      <c r="E119" s="5" t="s">
        <v>21</v>
      </c>
      <c r="F119" s="5" t="s">
        <v>269</v>
      </c>
      <c r="G119" s="5" t="s">
        <v>124</v>
      </c>
      <c r="H119" s="7">
        <v>26</v>
      </c>
      <c r="I119" s="1">
        <v>6</v>
      </c>
      <c r="J119" s="8">
        <v>6</v>
      </c>
      <c r="K119" s="9">
        <f t="shared" si="3"/>
        <v>6087.8</v>
      </c>
      <c r="L119" s="9">
        <v>6087.8</v>
      </c>
      <c r="M119" s="9"/>
      <c r="N119" s="1"/>
      <c r="O119" s="9">
        <f t="shared" si="4"/>
        <v>0</v>
      </c>
      <c r="P119" s="9">
        <v>0</v>
      </c>
      <c r="Q119" s="9"/>
      <c r="R119" s="10"/>
    </row>
    <row r="120" spans="1:18" ht="15" customHeight="1" x14ac:dyDescent="0.25">
      <c r="A120" s="6">
        <v>58</v>
      </c>
      <c r="B120" s="5" t="s">
        <v>92</v>
      </c>
      <c r="C120" s="6" t="s">
        <v>20</v>
      </c>
      <c r="D120" s="5"/>
      <c r="E120" s="5" t="s">
        <v>21</v>
      </c>
      <c r="F120" s="5" t="s">
        <v>194</v>
      </c>
      <c r="G120" s="5" t="s">
        <v>144</v>
      </c>
      <c r="H120" s="7">
        <v>25</v>
      </c>
      <c r="I120" s="1">
        <v>22</v>
      </c>
      <c r="J120" s="8">
        <v>24</v>
      </c>
      <c r="K120" s="9">
        <f t="shared" si="3"/>
        <v>16804.79</v>
      </c>
      <c r="L120" s="9">
        <f>10239.03+4110.48+2455.28</f>
        <v>16804.79</v>
      </c>
      <c r="M120" s="9"/>
      <c r="N120" s="1">
        <v>9</v>
      </c>
      <c r="O120" s="9">
        <f t="shared" si="4"/>
        <v>8958.380000000001</v>
      </c>
      <c r="P120" s="9">
        <f>5563.21+3395.17</f>
        <v>8958.380000000001</v>
      </c>
      <c r="Q120" s="9"/>
      <c r="R120" s="10"/>
    </row>
    <row r="121" spans="1:18" ht="15" customHeight="1" x14ac:dyDescent="0.25">
      <c r="A121" s="6">
        <v>59</v>
      </c>
      <c r="B121" s="5" t="s">
        <v>93</v>
      </c>
      <c r="C121" s="6" t="s">
        <v>20</v>
      </c>
      <c r="D121" s="5"/>
      <c r="E121" s="5" t="s">
        <v>94</v>
      </c>
      <c r="F121" s="5" t="s">
        <v>195</v>
      </c>
      <c r="G121" s="5" t="s">
        <v>144</v>
      </c>
      <c r="H121" s="7">
        <v>30</v>
      </c>
      <c r="I121" s="1">
        <v>17</v>
      </c>
      <c r="J121" s="8">
        <v>33</v>
      </c>
      <c r="K121" s="9">
        <f t="shared" si="3"/>
        <v>25984.489999999998</v>
      </c>
      <c r="L121" s="9">
        <f>17369.05+8615.44</f>
        <v>25984.489999999998</v>
      </c>
      <c r="M121" s="9"/>
      <c r="N121" s="1">
        <v>19</v>
      </c>
      <c r="O121" s="9">
        <f t="shared" si="4"/>
        <v>13495.97</v>
      </c>
      <c r="P121" s="9">
        <v>13495.97</v>
      </c>
      <c r="Q121" s="9"/>
      <c r="R121" s="10"/>
    </row>
    <row r="122" spans="1:18" ht="15" customHeight="1" x14ac:dyDescent="0.25">
      <c r="A122" s="6"/>
      <c r="B122" s="5" t="s">
        <v>93</v>
      </c>
      <c r="C122" s="6" t="s">
        <v>20</v>
      </c>
      <c r="D122" s="5"/>
      <c r="E122" s="5" t="s">
        <v>94</v>
      </c>
      <c r="F122" s="5" t="s">
        <v>249</v>
      </c>
      <c r="G122" s="5" t="s">
        <v>138</v>
      </c>
      <c r="H122" s="7">
        <v>4</v>
      </c>
      <c r="I122" s="2">
        <v>1</v>
      </c>
      <c r="J122" s="8">
        <v>1</v>
      </c>
      <c r="K122" s="9">
        <f t="shared" si="3"/>
        <v>757.8</v>
      </c>
      <c r="L122" s="9">
        <v>757.8</v>
      </c>
      <c r="M122" s="9"/>
      <c r="N122" s="2"/>
      <c r="O122" s="9">
        <f t="shared" si="4"/>
        <v>0</v>
      </c>
      <c r="P122" s="9">
        <v>0</v>
      </c>
      <c r="Q122" s="9"/>
      <c r="R122" s="10"/>
    </row>
    <row r="123" spans="1:18" ht="15" customHeight="1" x14ac:dyDescent="0.25">
      <c r="A123" s="6">
        <v>60</v>
      </c>
      <c r="B123" s="5" t="s">
        <v>95</v>
      </c>
      <c r="C123" s="6" t="s">
        <v>20</v>
      </c>
      <c r="D123" s="5"/>
      <c r="E123" s="5" t="s">
        <v>21</v>
      </c>
      <c r="F123" s="5" t="s">
        <v>125</v>
      </c>
      <c r="G123" s="5" t="s">
        <v>144</v>
      </c>
      <c r="H123" s="7">
        <v>0</v>
      </c>
      <c r="I123" s="2"/>
      <c r="J123" s="8"/>
      <c r="K123" s="9">
        <f t="shared" si="3"/>
        <v>0</v>
      </c>
      <c r="L123" s="9"/>
      <c r="M123" s="9"/>
      <c r="N123" s="2">
        <v>4</v>
      </c>
      <c r="O123" s="9">
        <f t="shared" si="4"/>
        <v>1320</v>
      </c>
      <c r="P123" s="9">
        <v>1320</v>
      </c>
      <c r="Q123" s="9"/>
      <c r="R123" s="10"/>
    </row>
    <row r="124" spans="1:18" ht="15" customHeight="1" x14ac:dyDescent="0.25">
      <c r="A124" s="6"/>
      <c r="B124" s="5" t="s">
        <v>95</v>
      </c>
      <c r="C124" s="6" t="s">
        <v>20</v>
      </c>
      <c r="D124" s="5"/>
      <c r="E124" s="5" t="s">
        <v>21</v>
      </c>
      <c r="F124" s="5" t="s">
        <v>256</v>
      </c>
      <c r="G124" s="5" t="s">
        <v>133</v>
      </c>
      <c r="H124" s="7">
        <v>1</v>
      </c>
      <c r="I124" s="1"/>
      <c r="J124" s="8"/>
      <c r="K124" s="9">
        <f t="shared" si="3"/>
        <v>0</v>
      </c>
      <c r="L124" s="9"/>
      <c r="M124" s="9"/>
      <c r="N124" s="1"/>
      <c r="O124" s="9">
        <f t="shared" si="4"/>
        <v>0</v>
      </c>
      <c r="P124" s="9">
        <v>0</v>
      </c>
      <c r="Q124" s="9"/>
      <c r="R124" s="10"/>
    </row>
    <row r="125" spans="1:18" ht="15" customHeight="1" x14ac:dyDescent="0.25">
      <c r="A125" s="6"/>
      <c r="B125" s="5" t="s">
        <v>95</v>
      </c>
      <c r="C125" s="6" t="s">
        <v>20</v>
      </c>
      <c r="D125" s="5"/>
      <c r="E125" s="5"/>
      <c r="F125" s="5" t="s">
        <v>264</v>
      </c>
      <c r="G125" s="5" t="s">
        <v>124</v>
      </c>
      <c r="H125" s="7">
        <v>13</v>
      </c>
      <c r="I125" s="1">
        <v>7</v>
      </c>
      <c r="J125" s="8">
        <v>7</v>
      </c>
      <c r="K125" s="9">
        <f t="shared" si="3"/>
        <v>4630.3</v>
      </c>
      <c r="L125" s="9">
        <v>4630.3</v>
      </c>
      <c r="M125" s="9"/>
      <c r="N125" s="1"/>
      <c r="O125" s="9">
        <f t="shared" si="4"/>
        <v>0</v>
      </c>
      <c r="P125" s="9">
        <v>0</v>
      </c>
      <c r="Q125" s="9"/>
      <c r="R125" s="10"/>
    </row>
    <row r="126" spans="1:18" ht="15" customHeight="1" x14ac:dyDescent="0.25">
      <c r="A126" s="6">
        <v>61</v>
      </c>
      <c r="B126" s="5" t="s">
        <v>284</v>
      </c>
      <c r="C126" s="6" t="s">
        <v>20</v>
      </c>
      <c r="D126" s="5"/>
      <c r="E126" s="5" t="s">
        <v>283</v>
      </c>
      <c r="F126" s="5" t="s">
        <v>282</v>
      </c>
      <c r="G126" s="5" t="s">
        <v>144</v>
      </c>
      <c r="H126" s="7">
        <v>4</v>
      </c>
      <c r="I126" s="1">
        <v>1</v>
      </c>
      <c r="J126" s="8">
        <v>1</v>
      </c>
      <c r="K126" s="9">
        <f t="shared" si="3"/>
        <v>0</v>
      </c>
      <c r="L126" s="9"/>
      <c r="M126" s="9"/>
      <c r="N126" s="1"/>
      <c r="O126" s="9">
        <f t="shared" si="4"/>
        <v>0</v>
      </c>
      <c r="P126" s="9"/>
      <c r="Q126" s="9"/>
      <c r="R126" s="10"/>
    </row>
    <row r="127" spans="1:18" ht="15" customHeight="1" x14ac:dyDescent="0.25">
      <c r="A127" s="6"/>
      <c r="B127" s="5" t="s">
        <v>284</v>
      </c>
      <c r="C127" s="6" t="s">
        <v>20</v>
      </c>
      <c r="D127" s="5"/>
      <c r="E127" s="5" t="s">
        <v>21</v>
      </c>
      <c r="F127" s="5" t="s">
        <v>288</v>
      </c>
      <c r="G127" s="5" t="s">
        <v>133</v>
      </c>
      <c r="H127" s="7">
        <v>1</v>
      </c>
      <c r="I127" s="1"/>
      <c r="J127" s="8"/>
      <c r="K127" s="9">
        <f t="shared" si="3"/>
        <v>0</v>
      </c>
      <c r="L127" s="9"/>
      <c r="M127" s="9"/>
      <c r="N127" s="1"/>
      <c r="O127" s="9"/>
      <c r="P127" s="9"/>
      <c r="Q127" s="9"/>
      <c r="R127" s="10"/>
    </row>
    <row r="128" spans="1:18" ht="15" customHeight="1" x14ac:dyDescent="0.25">
      <c r="A128" s="6"/>
      <c r="B128" s="5" t="s">
        <v>284</v>
      </c>
      <c r="C128" s="6" t="s">
        <v>20</v>
      </c>
      <c r="D128" s="5"/>
      <c r="E128" s="5" t="s">
        <v>21</v>
      </c>
      <c r="F128" s="5" t="s">
        <v>285</v>
      </c>
      <c r="G128" s="5" t="s">
        <v>124</v>
      </c>
      <c r="H128" s="7">
        <v>12</v>
      </c>
      <c r="I128" s="1">
        <v>2</v>
      </c>
      <c r="J128" s="8">
        <v>2</v>
      </c>
      <c r="K128" s="9">
        <f t="shared" si="3"/>
        <v>264.3</v>
      </c>
      <c r="L128" s="9">
        <v>264.3</v>
      </c>
      <c r="M128" s="9"/>
      <c r="N128" s="1"/>
      <c r="O128" s="9">
        <f t="shared" si="4"/>
        <v>0</v>
      </c>
      <c r="P128" s="9"/>
      <c r="Q128" s="9"/>
      <c r="R128" s="10"/>
    </row>
    <row r="129" spans="1:18" ht="15" customHeight="1" x14ac:dyDescent="0.25">
      <c r="A129" s="6">
        <v>62</v>
      </c>
      <c r="B129" s="5" t="s">
        <v>96</v>
      </c>
      <c r="C129" s="6" t="s">
        <v>20</v>
      </c>
      <c r="D129" s="5"/>
      <c r="E129" s="5" t="s">
        <v>97</v>
      </c>
      <c r="F129" s="5" t="s">
        <v>196</v>
      </c>
      <c r="G129" s="5" t="s">
        <v>144</v>
      </c>
      <c r="H129" s="7">
        <v>60</v>
      </c>
      <c r="I129" s="1">
        <v>52</v>
      </c>
      <c r="J129" s="8">
        <v>87</v>
      </c>
      <c r="K129" s="9">
        <f t="shared" si="3"/>
        <v>68713.099999999991</v>
      </c>
      <c r="L129" s="9">
        <f>56754.88+11958.22</f>
        <v>68713.099999999991</v>
      </c>
      <c r="M129" s="9"/>
      <c r="N129" s="1">
        <v>26</v>
      </c>
      <c r="O129" s="9">
        <f t="shared" si="4"/>
        <v>18564.07</v>
      </c>
      <c r="P129" s="9">
        <v>18564.07</v>
      </c>
      <c r="Q129" s="9"/>
      <c r="R129" s="10"/>
    </row>
    <row r="130" spans="1:18" ht="15" customHeight="1" x14ac:dyDescent="0.25">
      <c r="A130" s="6"/>
      <c r="B130" s="5" t="s">
        <v>130</v>
      </c>
      <c r="C130" s="6" t="s">
        <v>20</v>
      </c>
      <c r="D130" s="5"/>
      <c r="E130" s="5" t="s">
        <v>97</v>
      </c>
      <c r="F130" s="5" t="s">
        <v>260</v>
      </c>
      <c r="G130" s="5" t="s">
        <v>126</v>
      </c>
      <c r="H130" s="7">
        <v>18</v>
      </c>
      <c r="I130" s="1">
        <v>15</v>
      </c>
      <c r="J130" s="8">
        <v>15</v>
      </c>
      <c r="K130" s="9">
        <f t="shared" si="3"/>
        <v>7226.65</v>
      </c>
      <c r="L130" s="9">
        <v>7226.65</v>
      </c>
      <c r="M130" s="9"/>
      <c r="N130" s="1"/>
      <c r="O130" s="9">
        <f t="shared" si="4"/>
        <v>0</v>
      </c>
      <c r="P130" s="9">
        <v>0</v>
      </c>
      <c r="Q130" s="9"/>
      <c r="R130" s="10"/>
    </row>
    <row r="131" spans="1:18" ht="15" customHeight="1" x14ac:dyDescent="0.25">
      <c r="A131" s="6"/>
      <c r="B131" s="5" t="s">
        <v>130</v>
      </c>
      <c r="C131" s="6" t="s">
        <v>20</v>
      </c>
      <c r="D131" s="5"/>
      <c r="E131" s="5" t="s">
        <v>97</v>
      </c>
      <c r="F131" s="5" t="s">
        <v>125</v>
      </c>
      <c r="G131" s="5" t="s">
        <v>133</v>
      </c>
      <c r="H131" s="7">
        <v>0</v>
      </c>
      <c r="I131" s="2"/>
      <c r="J131" s="8"/>
      <c r="K131" s="9">
        <f t="shared" si="3"/>
        <v>0</v>
      </c>
      <c r="L131" s="9"/>
      <c r="M131" s="9"/>
      <c r="N131" s="2"/>
      <c r="O131" s="9">
        <f t="shared" si="4"/>
        <v>0</v>
      </c>
      <c r="P131" s="9">
        <v>0</v>
      </c>
      <c r="Q131" s="9"/>
      <c r="R131" s="10"/>
    </row>
    <row r="132" spans="1:18" ht="15" customHeight="1" x14ac:dyDescent="0.25">
      <c r="A132" s="6">
        <v>63</v>
      </c>
      <c r="B132" s="5" t="s">
        <v>98</v>
      </c>
      <c r="C132" s="6" t="s">
        <v>20</v>
      </c>
      <c r="D132" s="5"/>
      <c r="E132" s="5" t="s">
        <v>21</v>
      </c>
      <c r="F132" s="5" t="s">
        <v>197</v>
      </c>
      <c r="G132" s="5" t="s">
        <v>144</v>
      </c>
      <c r="H132" s="7">
        <v>7</v>
      </c>
      <c r="I132" s="1">
        <v>4</v>
      </c>
      <c r="J132" s="8">
        <v>4</v>
      </c>
      <c r="K132" s="9">
        <f t="shared" si="3"/>
        <v>369.55</v>
      </c>
      <c r="L132" s="9">
        <v>369.55</v>
      </c>
      <c r="M132" s="9"/>
      <c r="N132" s="1">
        <v>1</v>
      </c>
      <c r="O132" s="9">
        <f t="shared" si="4"/>
        <v>4527.04</v>
      </c>
      <c r="P132" s="9">
        <v>4527.04</v>
      </c>
      <c r="Q132" s="9"/>
      <c r="R132" s="10"/>
    </row>
    <row r="133" spans="1:18" ht="15" customHeight="1" x14ac:dyDescent="0.25">
      <c r="A133" s="6"/>
      <c r="B133" s="5" t="s">
        <v>98</v>
      </c>
      <c r="C133" s="6" t="s">
        <v>20</v>
      </c>
      <c r="D133" s="5"/>
      <c r="E133" s="5" t="s">
        <v>21</v>
      </c>
      <c r="F133" s="5" t="s">
        <v>257</v>
      </c>
      <c r="G133" s="5" t="s">
        <v>133</v>
      </c>
      <c r="H133" s="7">
        <v>2</v>
      </c>
      <c r="I133" s="1">
        <v>1</v>
      </c>
      <c r="J133" s="8">
        <v>1</v>
      </c>
      <c r="K133" s="9">
        <f t="shared" si="3"/>
        <v>189.45</v>
      </c>
      <c r="L133" s="9">
        <v>189.45</v>
      </c>
      <c r="M133" s="9"/>
      <c r="N133" s="1"/>
      <c r="O133" s="9">
        <f t="shared" si="4"/>
        <v>0</v>
      </c>
      <c r="P133" s="9">
        <v>0</v>
      </c>
      <c r="Q133" s="9"/>
      <c r="R133" s="10"/>
    </row>
    <row r="134" spans="1:18" ht="15" customHeight="1" x14ac:dyDescent="0.25">
      <c r="A134" s="6"/>
      <c r="B134" s="5" t="s">
        <v>98</v>
      </c>
      <c r="C134" s="6" t="s">
        <v>20</v>
      </c>
      <c r="D134" s="5"/>
      <c r="E134" s="5" t="s">
        <v>21</v>
      </c>
      <c r="F134" s="5" t="s">
        <v>272</v>
      </c>
      <c r="G134" s="5" t="s">
        <v>124</v>
      </c>
      <c r="H134" s="7">
        <v>13</v>
      </c>
      <c r="I134" s="1">
        <v>2</v>
      </c>
      <c r="J134" s="8">
        <v>2</v>
      </c>
      <c r="K134" s="9">
        <f t="shared" si="3"/>
        <v>1550.7</v>
      </c>
      <c r="L134" s="9">
        <v>1550.7</v>
      </c>
      <c r="M134" s="9"/>
      <c r="N134" s="1"/>
      <c r="O134" s="9">
        <f t="shared" si="4"/>
        <v>0</v>
      </c>
      <c r="P134" s="9">
        <v>0</v>
      </c>
      <c r="Q134" s="9"/>
      <c r="R134" s="10"/>
    </row>
    <row r="135" spans="1:18" ht="15" customHeight="1" x14ac:dyDescent="0.25">
      <c r="A135" s="6"/>
      <c r="B135" s="5" t="s">
        <v>98</v>
      </c>
      <c r="C135" s="6" t="s">
        <v>20</v>
      </c>
      <c r="D135" s="5"/>
      <c r="E135" s="4" t="s">
        <v>21</v>
      </c>
      <c r="F135" s="4" t="s">
        <v>278</v>
      </c>
      <c r="G135" s="4" t="s">
        <v>138</v>
      </c>
      <c r="H135" s="39">
        <v>4</v>
      </c>
      <c r="I135" s="1"/>
      <c r="J135" s="8"/>
      <c r="K135" s="9">
        <f t="shared" si="3"/>
        <v>0</v>
      </c>
      <c r="L135" s="9"/>
      <c r="M135" s="9"/>
      <c r="N135" s="1"/>
      <c r="O135" s="9">
        <f t="shared" si="4"/>
        <v>0</v>
      </c>
      <c r="P135" s="9">
        <v>0</v>
      </c>
      <c r="Q135" s="9"/>
      <c r="R135" s="10"/>
    </row>
    <row r="136" spans="1:18" ht="15" customHeight="1" x14ac:dyDescent="0.25">
      <c r="A136" s="6">
        <v>64</v>
      </c>
      <c r="B136" s="5" t="s">
        <v>99</v>
      </c>
      <c r="C136" s="6" t="s">
        <v>20</v>
      </c>
      <c r="D136" s="5"/>
      <c r="E136" s="5" t="s">
        <v>21</v>
      </c>
      <c r="F136" s="5" t="s">
        <v>198</v>
      </c>
      <c r="G136" s="5" t="s">
        <v>144</v>
      </c>
      <c r="H136" s="7">
        <v>33</v>
      </c>
      <c r="I136" s="1">
        <v>23</v>
      </c>
      <c r="J136" s="8">
        <v>23</v>
      </c>
      <c r="K136" s="9">
        <f t="shared" si="3"/>
        <v>13672.51</v>
      </c>
      <c r="L136" s="9">
        <f>10873.82+2798.69</f>
        <v>13672.51</v>
      </c>
      <c r="M136" s="9"/>
      <c r="N136" s="1">
        <v>10</v>
      </c>
      <c r="O136" s="9">
        <f t="shared" si="4"/>
        <v>6766.2</v>
      </c>
      <c r="P136" s="9">
        <v>6766.2</v>
      </c>
      <c r="Q136" s="9"/>
      <c r="R136" s="10"/>
    </row>
    <row r="137" spans="1:18" ht="15" customHeight="1" x14ac:dyDescent="0.25">
      <c r="A137" s="6">
        <v>65</v>
      </c>
      <c r="B137" s="5" t="s">
        <v>100</v>
      </c>
      <c r="C137" s="6" t="s">
        <v>20</v>
      </c>
      <c r="D137" s="5"/>
      <c r="E137" s="5" t="s">
        <v>21</v>
      </c>
      <c r="F137" s="5" t="s">
        <v>199</v>
      </c>
      <c r="G137" s="5" t="s">
        <v>144</v>
      </c>
      <c r="H137" s="7">
        <v>32</v>
      </c>
      <c r="I137" s="1">
        <v>27</v>
      </c>
      <c r="J137" s="8">
        <v>28</v>
      </c>
      <c r="K137" s="9">
        <f t="shared" si="3"/>
        <v>22318.82</v>
      </c>
      <c r="L137" s="9">
        <f>12893.33+5267.72+4157.77</f>
        <v>22318.82</v>
      </c>
      <c r="M137" s="9"/>
      <c r="N137" s="1">
        <v>8</v>
      </c>
      <c r="O137" s="9">
        <f t="shared" si="4"/>
        <v>8480.57</v>
      </c>
      <c r="P137" s="9">
        <f>5701.97+2778.6</f>
        <v>8480.57</v>
      </c>
      <c r="Q137" s="9"/>
      <c r="R137" s="10"/>
    </row>
    <row r="138" spans="1:18" ht="15" customHeight="1" x14ac:dyDescent="0.25">
      <c r="A138" s="6">
        <v>66</v>
      </c>
      <c r="B138" s="5" t="s">
        <v>101</v>
      </c>
      <c r="C138" s="6" t="s">
        <v>20</v>
      </c>
      <c r="D138" s="5"/>
      <c r="E138" s="5" t="s">
        <v>21</v>
      </c>
      <c r="F138" s="5" t="s">
        <v>200</v>
      </c>
      <c r="G138" s="5" t="s">
        <v>144</v>
      </c>
      <c r="H138" s="7">
        <v>6</v>
      </c>
      <c r="I138" s="1">
        <v>5</v>
      </c>
      <c r="J138" s="8">
        <v>6</v>
      </c>
      <c r="K138" s="9">
        <f t="shared" si="3"/>
        <v>6044.4299999999994</v>
      </c>
      <c r="L138" s="9">
        <f>5155.28+889.15</f>
        <v>6044.4299999999994</v>
      </c>
      <c r="M138" s="9"/>
      <c r="N138" s="1">
        <v>3</v>
      </c>
      <c r="O138" s="9">
        <f t="shared" si="4"/>
        <v>33872.629999999997</v>
      </c>
      <c r="P138" s="9">
        <v>33872.629999999997</v>
      </c>
      <c r="Q138" s="9"/>
      <c r="R138" s="10"/>
    </row>
    <row r="139" spans="1:18" ht="15" customHeight="1" x14ac:dyDescent="0.25">
      <c r="A139" s="27">
        <v>67</v>
      </c>
      <c r="B139" s="28" t="s">
        <v>102</v>
      </c>
      <c r="C139" s="27" t="s">
        <v>32</v>
      </c>
      <c r="D139" s="28" t="s">
        <v>103</v>
      </c>
      <c r="E139" s="28" t="s">
        <v>21</v>
      </c>
      <c r="F139" s="28" t="s">
        <v>201</v>
      </c>
      <c r="G139" s="28" t="s">
        <v>144</v>
      </c>
      <c r="H139" s="7">
        <v>24</v>
      </c>
      <c r="I139" s="1">
        <v>10</v>
      </c>
      <c r="J139" s="8">
        <v>12</v>
      </c>
      <c r="K139" s="9">
        <f t="shared" si="3"/>
        <v>8436.98</v>
      </c>
      <c r="L139" s="9">
        <f>7563.83+873.15</f>
        <v>8436.98</v>
      </c>
      <c r="M139" s="9"/>
      <c r="N139" s="1">
        <v>35</v>
      </c>
      <c r="O139" s="9">
        <f t="shared" si="4"/>
        <v>38198.61</v>
      </c>
      <c r="P139" s="9">
        <f>23383.06+7002.07+7813.48</f>
        <v>38198.61</v>
      </c>
      <c r="Q139" s="9"/>
      <c r="R139" s="10"/>
    </row>
    <row r="140" spans="1:18" ht="29.25" customHeight="1" x14ac:dyDescent="0.25">
      <c r="A140" s="27"/>
      <c r="B140" s="28" t="s">
        <v>102</v>
      </c>
      <c r="C140" s="27" t="s">
        <v>32</v>
      </c>
      <c r="D140" s="28" t="s">
        <v>103</v>
      </c>
      <c r="E140" s="28" t="s">
        <v>21</v>
      </c>
      <c r="F140" s="28" t="s">
        <v>275</v>
      </c>
      <c r="G140" s="28" t="s">
        <v>124</v>
      </c>
      <c r="H140" s="7">
        <v>2</v>
      </c>
      <c r="I140" s="1"/>
      <c r="J140" s="8"/>
      <c r="K140" s="9">
        <f t="shared" si="3"/>
        <v>0</v>
      </c>
      <c r="L140" s="9"/>
      <c r="M140" s="9"/>
      <c r="N140" s="1"/>
      <c r="O140" s="9">
        <f t="shared" si="4"/>
        <v>0</v>
      </c>
      <c r="P140" s="9">
        <v>0</v>
      </c>
      <c r="Q140" s="9"/>
      <c r="R140" s="10"/>
    </row>
    <row r="141" spans="1:18" ht="26.25" customHeight="1" x14ac:dyDescent="0.25">
      <c r="A141" s="21">
        <v>68</v>
      </c>
      <c r="B141" s="40" t="s">
        <v>146</v>
      </c>
      <c r="C141" s="21" t="s">
        <v>20</v>
      </c>
      <c r="D141" s="40"/>
      <c r="E141" s="40"/>
      <c r="F141" s="40" t="s">
        <v>202</v>
      </c>
      <c r="G141" s="40" t="s">
        <v>144</v>
      </c>
      <c r="H141" s="41">
        <v>0</v>
      </c>
      <c r="I141" s="1"/>
      <c r="J141" s="8"/>
      <c r="K141" s="9">
        <f t="shared" si="3"/>
        <v>0</v>
      </c>
      <c r="L141" s="42"/>
      <c r="M141" s="42"/>
      <c r="N141" s="1">
        <v>3</v>
      </c>
      <c r="O141" s="42">
        <f t="shared" si="4"/>
        <v>22218.370000000003</v>
      </c>
      <c r="P141" s="42">
        <f>19705.4+2512.97</f>
        <v>22218.370000000003</v>
      </c>
      <c r="Q141" s="42"/>
      <c r="R141" s="10"/>
    </row>
    <row r="142" spans="1:18" ht="15.75" customHeight="1" x14ac:dyDescent="0.25">
      <c r="A142" s="6">
        <v>69</v>
      </c>
      <c r="B142" s="5" t="s">
        <v>104</v>
      </c>
      <c r="C142" s="6" t="s">
        <v>20</v>
      </c>
      <c r="D142" s="5"/>
      <c r="E142" s="5" t="s">
        <v>21</v>
      </c>
      <c r="F142" s="5"/>
      <c r="G142" s="5" t="s">
        <v>144</v>
      </c>
      <c r="H142" s="7">
        <v>0</v>
      </c>
      <c r="I142" s="1"/>
      <c r="J142" s="8"/>
      <c r="K142" s="9">
        <f t="shared" si="3"/>
        <v>0</v>
      </c>
      <c r="L142" s="9"/>
      <c r="M142" s="9"/>
      <c r="N142" s="1">
        <v>4</v>
      </c>
      <c r="O142" s="9">
        <f t="shared" si="4"/>
        <v>14445.59</v>
      </c>
      <c r="P142" s="9">
        <v>14445.59</v>
      </c>
      <c r="Q142" s="9"/>
      <c r="R142" s="10"/>
    </row>
    <row r="143" spans="1:18" ht="15" customHeight="1" x14ac:dyDescent="0.25">
      <c r="A143" s="6">
        <v>70</v>
      </c>
      <c r="B143" s="5" t="s">
        <v>105</v>
      </c>
      <c r="C143" s="6" t="s">
        <v>20</v>
      </c>
      <c r="D143" s="5"/>
      <c r="E143" s="5" t="s">
        <v>21</v>
      </c>
      <c r="F143" s="5" t="s">
        <v>203</v>
      </c>
      <c r="G143" s="5" t="s">
        <v>144</v>
      </c>
      <c r="H143" s="7">
        <v>30</v>
      </c>
      <c r="I143" s="1">
        <v>26</v>
      </c>
      <c r="J143" s="8">
        <v>29</v>
      </c>
      <c r="K143" s="9">
        <f t="shared" si="3"/>
        <v>29235.200000000001</v>
      </c>
      <c r="L143" s="9">
        <f>3632+9588.53+14282.49+1732.18</f>
        <v>29235.200000000001</v>
      </c>
      <c r="M143" s="9"/>
      <c r="N143" s="1">
        <v>10</v>
      </c>
      <c r="O143" s="9">
        <f t="shared" si="4"/>
        <v>20012.460000000003</v>
      </c>
      <c r="P143" s="9">
        <f>13167.42+6200.91+644.13</f>
        <v>20012.460000000003</v>
      </c>
      <c r="Q143" s="9"/>
      <c r="R143" s="10"/>
    </row>
    <row r="144" spans="1:18" ht="15" customHeight="1" x14ac:dyDescent="0.25">
      <c r="A144" s="6"/>
      <c r="B144" s="5" t="s">
        <v>105</v>
      </c>
      <c r="C144" s="6" t="s">
        <v>20</v>
      </c>
      <c r="D144" s="5"/>
      <c r="E144" s="5" t="s">
        <v>21</v>
      </c>
      <c r="F144" s="5" t="s">
        <v>263</v>
      </c>
      <c r="G144" s="5" t="s">
        <v>124</v>
      </c>
      <c r="H144" s="7">
        <v>23</v>
      </c>
      <c r="I144" s="1">
        <v>7</v>
      </c>
      <c r="J144" s="8">
        <v>8</v>
      </c>
      <c r="K144" s="9">
        <f t="shared" si="3"/>
        <v>4609.95</v>
      </c>
      <c r="L144" s="9">
        <v>4609.95</v>
      </c>
      <c r="M144" s="9"/>
      <c r="N144" s="1"/>
      <c r="O144" s="9">
        <f t="shared" si="4"/>
        <v>0</v>
      </c>
      <c r="P144" s="9">
        <v>0</v>
      </c>
      <c r="Q144" s="9"/>
      <c r="R144" s="10"/>
    </row>
    <row r="145" spans="1:18" ht="24.75" customHeight="1" x14ac:dyDescent="0.25">
      <c r="A145" s="27">
        <v>71</v>
      </c>
      <c r="B145" s="28" t="s">
        <v>107</v>
      </c>
      <c r="C145" s="27" t="s">
        <v>32</v>
      </c>
      <c r="D145" s="28" t="s">
        <v>108</v>
      </c>
      <c r="E145" s="28" t="s">
        <v>21</v>
      </c>
      <c r="F145" s="28" t="s">
        <v>204</v>
      </c>
      <c r="G145" s="28" t="s">
        <v>144</v>
      </c>
      <c r="H145" s="7">
        <v>39</v>
      </c>
      <c r="I145" s="1">
        <v>33</v>
      </c>
      <c r="J145" s="8">
        <v>34</v>
      </c>
      <c r="K145" s="9">
        <f t="shared" si="3"/>
        <v>12687.45</v>
      </c>
      <c r="L145" s="9">
        <f>8126.3+2904.3+1656.85</f>
        <v>12687.45</v>
      </c>
      <c r="M145" s="9"/>
      <c r="N145" s="1">
        <v>12</v>
      </c>
      <c r="O145" s="9">
        <f t="shared" si="4"/>
        <v>8403.69</v>
      </c>
      <c r="P145" s="9">
        <v>8403.69</v>
      </c>
      <c r="Q145" s="9"/>
      <c r="R145" s="10"/>
    </row>
    <row r="146" spans="1:18" ht="38.450000000000003" customHeight="1" x14ac:dyDescent="0.25">
      <c r="A146" s="27">
        <v>72</v>
      </c>
      <c r="B146" s="28" t="s">
        <v>268</v>
      </c>
      <c r="C146" s="27" t="s">
        <v>20</v>
      </c>
      <c r="D146" s="28"/>
      <c r="E146" s="28" t="s">
        <v>21</v>
      </c>
      <c r="F146" s="28" t="s">
        <v>125</v>
      </c>
      <c r="G146" s="28" t="s">
        <v>144</v>
      </c>
      <c r="H146" s="7">
        <v>0</v>
      </c>
      <c r="I146" s="1"/>
      <c r="J146" s="8"/>
      <c r="K146" s="9">
        <f t="shared" ref="K146:K167" si="5">L146+M146</f>
        <v>0</v>
      </c>
      <c r="L146" s="9"/>
      <c r="M146" s="9"/>
      <c r="N146" s="1">
        <v>2</v>
      </c>
      <c r="O146" s="9">
        <f t="shared" si="4"/>
        <v>10652.8</v>
      </c>
      <c r="P146" s="9">
        <f>7841.3+2811.5</f>
        <v>10652.8</v>
      </c>
      <c r="Q146" s="9"/>
      <c r="R146" s="10"/>
    </row>
    <row r="147" spans="1:18" ht="38.450000000000003" customHeight="1" x14ac:dyDescent="0.25">
      <c r="A147" s="6">
        <v>73</v>
      </c>
      <c r="B147" s="5" t="s">
        <v>109</v>
      </c>
      <c r="C147" s="6" t="s">
        <v>20</v>
      </c>
      <c r="D147" s="5"/>
      <c r="E147" s="5" t="s">
        <v>38</v>
      </c>
      <c r="F147" s="5" t="s">
        <v>205</v>
      </c>
      <c r="G147" s="5" t="s">
        <v>144</v>
      </c>
      <c r="H147" s="7">
        <v>23</v>
      </c>
      <c r="I147" s="1">
        <v>12</v>
      </c>
      <c r="J147" s="8">
        <v>18</v>
      </c>
      <c r="K147" s="9">
        <f t="shared" si="5"/>
        <v>14499.219999999998</v>
      </c>
      <c r="L147" s="9">
        <f>2064+2987.31+2878.22+6569.69</f>
        <v>14499.219999999998</v>
      </c>
      <c r="M147" s="9"/>
      <c r="N147" s="1">
        <v>2</v>
      </c>
      <c r="O147" s="9">
        <f t="shared" si="4"/>
        <v>10467.549999999999</v>
      </c>
      <c r="P147" s="9">
        <f>1440+9027.55</f>
        <v>10467.549999999999</v>
      </c>
      <c r="Q147" s="9"/>
      <c r="R147" s="10"/>
    </row>
    <row r="148" spans="1:18" ht="15.75" customHeight="1" x14ac:dyDescent="0.25">
      <c r="A148" s="6"/>
      <c r="B148" s="5" t="s">
        <v>109</v>
      </c>
      <c r="C148" s="6" t="s">
        <v>20</v>
      </c>
      <c r="D148" s="5"/>
      <c r="E148" s="5" t="s">
        <v>38</v>
      </c>
      <c r="F148" s="5" t="s">
        <v>222</v>
      </c>
      <c r="G148" s="5" t="s">
        <v>138</v>
      </c>
      <c r="H148" s="7">
        <v>38</v>
      </c>
      <c r="I148" s="2">
        <v>14</v>
      </c>
      <c r="J148" s="8">
        <v>14</v>
      </c>
      <c r="K148" s="9">
        <f t="shared" si="5"/>
        <v>14508.6</v>
      </c>
      <c r="L148" s="9">
        <v>14508.6</v>
      </c>
      <c r="M148" s="9"/>
      <c r="N148" s="2"/>
      <c r="O148" s="9">
        <f t="shared" si="4"/>
        <v>0</v>
      </c>
      <c r="P148" s="9">
        <v>0</v>
      </c>
      <c r="Q148" s="9"/>
      <c r="R148" s="10"/>
    </row>
    <row r="149" spans="1:18" ht="16.5" customHeight="1" x14ac:dyDescent="0.25">
      <c r="A149" s="6">
        <v>74</v>
      </c>
      <c r="B149" s="5" t="s">
        <v>110</v>
      </c>
      <c r="C149" s="6" t="s">
        <v>20</v>
      </c>
      <c r="D149" s="5"/>
      <c r="E149" s="5" t="s">
        <v>21</v>
      </c>
      <c r="F149" s="5" t="s">
        <v>206</v>
      </c>
      <c r="G149" s="5" t="s">
        <v>144</v>
      </c>
      <c r="H149" s="7">
        <v>54</v>
      </c>
      <c r="I149" s="1">
        <v>48</v>
      </c>
      <c r="J149" s="8">
        <v>54</v>
      </c>
      <c r="K149" s="9">
        <f t="shared" si="5"/>
        <v>33344.35</v>
      </c>
      <c r="L149" s="9">
        <f>21893.08+4406.1+7045.17</f>
        <v>33344.35</v>
      </c>
      <c r="M149" s="9"/>
      <c r="N149" s="1">
        <v>12</v>
      </c>
      <c r="O149" s="9">
        <f t="shared" si="4"/>
        <v>17436.689999999999</v>
      </c>
      <c r="P149" s="9">
        <f>12187.05+5249.64</f>
        <v>17436.689999999999</v>
      </c>
      <c r="Q149" s="9"/>
      <c r="R149" s="10"/>
    </row>
    <row r="150" spans="1:18" ht="16.5" customHeight="1" x14ac:dyDescent="0.25">
      <c r="A150" s="6"/>
      <c r="B150" s="5" t="s">
        <v>110</v>
      </c>
      <c r="C150" s="6" t="s">
        <v>20</v>
      </c>
      <c r="D150" s="5"/>
      <c r="E150" s="5" t="s">
        <v>21</v>
      </c>
      <c r="F150" s="5" t="s">
        <v>0</v>
      </c>
      <c r="G150" s="5" t="s">
        <v>124</v>
      </c>
      <c r="H150" s="7">
        <v>17</v>
      </c>
      <c r="I150" s="1">
        <v>1</v>
      </c>
      <c r="J150" s="8">
        <v>1</v>
      </c>
      <c r="K150" s="9">
        <f t="shared" si="5"/>
        <v>2526</v>
      </c>
      <c r="L150" s="9">
        <v>2526</v>
      </c>
      <c r="M150" s="9"/>
      <c r="N150" s="1"/>
      <c r="O150" s="9"/>
      <c r="P150" s="9"/>
      <c r="Q150" s="9"/>
      <c r="R150" s="10"/>
    </row>
    <row r="151" spans="1:18" ht="16.5" customHeight="1" x14ac:dyDescent="0.25">
      <c r="A151" s="6">
        <v>75</v>
      </c>
      <c r="B151" s="5" t="s">
        <v>148</v>
      </c>
      <c r="C151" s="6" t="s">
        <v>20</v>
      </c>
      <c r="D151" s="5"/>
      <c r="E151" s="5" t="s">
        <v>106</v>
      </c>
      <c r="F151" s="5" t="s">
        <v>207</v>
      </c>
      <c r="G151" s="5" t="s">
        <v>144</v>
      </c>
      <c r="H151" s="7">
        <v>47</v>
      </c>
      <c r="I151" s="1">
        <v>45</v>
      </c>
      <c r="J151" s="8">
        <v>48</v>
      </c>
      <c r="K151" s="9">
        <f t="shared" si="5"/>
        <v>55789.42</v>
      </c>
      <c r="L151" s="9">
        <f>32640.5+19491.68+3657.24</f>
        <v>55789.42</v>
      </c>
      <c r="M151" s="9"/>
      <c r="N151" s="1">
        <v>10</v>
      </c>
      <c r="O151" s="9">
        <f t="shared" si="4"/>
        <v>0</v>
      </c>
      <c r="P151" s="9">
        <v>0</v>
      </c>
      <c r="Q151" s="9"/>
      <c r="R151" s="10"/>
    </row>
    <row r="152" spans="1:18" ht="15.75" customHeight="1" x14ac:dyDescent="0.25">
      <c r="A152" s="27">
        <v>76</v>
      </c>
      <c r="B152" s="28" t="s">
        <v>111</v>
      </c>
      <c r="C152" s="27" t="s">
        <v>54</v>
      </c>
      <c r="D152" s="28" t="s">
        <v>112</v>
      </c>
      <c r="E152" s="28" t="s">
        <v>21</v>
      </c>
      <c r="F152" s="28" t="s">
        <v>208</v>
      </c>
      <c r="G152" s="28" t="s">
        <v>144</v>
      </c>
      <c r="H152" s="7">
        <v>73</v>
      </c>
      <c r="I152" s="1">
        <v>65</v>
      </c>
      <c r="J152" s="8">
        <v>70</v>
      </c>
      <c r="K152" s="9">
        <f t="shared" si="5"/>
        <v>29662.33</v>
      </c>
      <c r="L152" s="9">
        <f>20277.68+9384.65</f>
        <v>29662.33</v>
      </c>
      <c r="M152" s="9"/>
      <c r="N152" s="1">
        <v>32</v>
      </c>
      <c r="O152" s="9">
        <f t="shared" si="4"/>
        <v>54584.679999999993</v>
      </c>
      <c r="P152" s="9">
        <f>46836.13+329.07+7419.48</f>
        <v>54584.679999999993</v>
      </c>
      <c r="Q152" s="9"/>
      <c r="R152" s="10"/>
    </row>
    <row r="153" spans="1:18" ht="27" customHeight="1" x14ac:dyDescent="0.25">
      <c r="A153" s="27"/>
      <c r="B153" s="28" t="s">
        <v>111</v>
      </c>
      <c r="C153" s="27" t="s">
        <v>54</v>
      </c>
      <c r="D153" s="28" t="s">
        <v>112</v>
      </c>
      <c r="E153" s="28" t="s">
        <v>21</v>
      </c>
      <c r="F153" s="28" t="s">
        <v>230</v>
      </c>
      <c r="G153" s="28" t="s">
        <v>124</v>
      </c>
      <c r="H153" s="7">
        <v>48</v>
      </c>
      <c r="I153" s="1">
        <v>26</v>
      </c>
      <c r="J153" s="8">
        <v>30</v>
      </c>
      <c r="K153" s="9">
        <f t="shared" si="5"/>
        <v>34211.410000000003</v>
      </c>
      <c r="L153" s="9">
        <v>34211.410000000003</v>
      </c>
      <c r="M153" s="9"/>
      <c r="N153" s="1"/>
      <c r="O153" s="9">
        <f t="shared" si="4"/>
        <v>0</v>
      </c>
      <c r="P153" s="9">
        <v>0</v>
      </c>
      <c r="Q153" s="9"/>
      <c r="R153" s="10"/>
    </row>
    <row r="154" spans="1:18" ht="27.75" customHeight="1" x14ac:dyDescent="0.25">
      <c r="A154" s="6">
        <v>77</v>
      </c>
      <c r="B154" s="5" t="s">
        <v>113</v>
      </c>
      <c r="C154" s="6" t="s">
        <v>20</v>
      </c>
      <c r="D154" s="5"/>
      <c r="E154" s="5" t="s">
        <v>114</v>
      </c>
      <c r="F154" s="5" t="s">
        <v>245</v>
      </c>
      <c r="G154" s="5" t="s">
        <v>144</v>
      </c>
      <c r="H154" s="7">
        <v>35</v>
      </c>
      <c r="I154" s="1">
        <v>26</v>
      </c>
      <c r="J154" s="8">
        <v>28</v>
      </c>
      <c r="K154" s="9">
        <f t="shared" si="5"/>
        <v>6777.43</v>
      </c>
      <c r="L154" s="9">
        <v>6777.43</v>
      </c>
      <c r="M154" s="9"/>
      <c r="N154" s="1">
        <v>24</v>
      </c>
      <c r="O154" s="9">
        <f t="shared" si="4"/>
        <v>26105.309999999998</v>
      </c>
      <c r="P154" s="9">
        <f>24708.96+1396.35</f>
        <v>26105.309999999998</v>
      </c>
      <c r="Q154" s="9"/>
      <c r="R154" s="10"/>
    </row>
    <row r="155" spans="1:18" ht="16.5" customHeight="1" x14ac:dyDescent="0.25">
      <c r="A155" s="6"/>
      <c r="B155" s="5" t="s">
        <v>113</v>
      </c>
      <c r="C155" s="6" t="s">
        <v>20</v>
      </c>
      <c r="D155" s="5"/>
      <c r="E155" s="5" t="s">
        <v>114</v>
      </c>
      <c r="F155" s="5" t="s">
        <v>259</v>
      </c>
      <c r="G155" s="5" t="s">
        <v>138</v>
      </c>
      <c r="H155" s="7">
        <v>5</v>
      </c>
      <c r="I155" s="2">
        <v>2</v>
      </c>
      <c r="J155" s="8">
        <v>2</v>
      </c>
      <c r="K155" s="9">
        <f t="shared" si="5"/>
        <v>252.6</v>
      </c>
      <c r="L155" s="9">
        <v>252.6</v>
      </c>
      <c r="M155" s="9"/>
      <c r="N155" s="2"/>
      <c r="O155" s="9">
        <f t="shared" si="4"/>
        <v>0</v>
      </c>
      <c r="P155" s="9">
        <v>0</v>
      </c>
      <c r="Q155" s="9"/>
      <c r="R155" s="10"/>
    </row>
    <row r="156" spans="1:18" ht="16.5" customHeight="1" x14ac:dyDescent="0.25">
      <c r="A156" s="6">
        <v>78</v>
      </c>
      <c r="B156" s="5" t="s">
        <v>115</v>
      </c>
      <c r="C156" s="6" t="s">
        <v>20</v>
      </c>
      <c r="D156" s="5"/>
      <c r="E156" s="5" t="s">
        <v>21</v>
      </c>
      <c r="F156" s="5" t="s">
        <v>122</v>
      </c>
      <c r="G156" s="5" t="s">
        <v>144</v>
      </c>
      <c r="H156" s="7">
        <v>0</v>
      </c>
      <c r="I156" s="1"/>
      <c r="J156" s="8"/>
      <c r="K156" s="9">
        <f t="shared" si="5"/>
        <v>0</v>
      </c>
      <c r="L156" s="9"/>
      <c r="M156" s="9"/>
      <c r="N156" s="1">
        <v>7</v>
      </c>
      <c r="O156" s="9">
        <f t="shared" si="4"/>
        <v>13823</v>
      </c>
      <c r="P156" s="9">
        <f>12560+1263</f>
        <v>13823</v>
      </c>
      <c r="Q156" s="9"/>
      <c r="R156" s="10"/>
    </row>
    <row r="157" spans="1:18" ht="18.75" customHeight="1" x14ac:dyDescent="0.25">
      <c r="A157" s="6"/>
      <c r="B157" s="5" t="s">
        <v>115</v>
      </c>
      <c r="C157" s="6" t="s">
        <v>20</v>
      </c>
      <c r="D157" s="5"/>
      <c r="E157" s="5" t="s">
        <v>21</v>
      </c>
      <c r="F157" s="5" t="s">
        <v>231</v>
      </c>
      <c r="G157" s="5" t="s">
        <v>124</v>
      </c>
      <c r="H157" s="7">
        <v>62</v>
      </c>
      <c r="I157" s="1">
        <v>39</v>
      </c>
      <c r="J157" s="8">
        <v>52</v>
      </c>
      <c r="K157" s="9">
        <f t="shared" si="5"/>
        <v>60772.91</v>
      </c>
      <c r="L157" s="9">
        <v>60772.91</v>
      </c>
      <c r="M157" s="9"/>
      <c r="N157" s="1"/>
      <c r="O157" s="9">
        <f t="shared" si="4"/>
        <v>0</v>
      </c>
      <c r="P157" s="9">
        <v>0</v>
      </c>
      <c r="Q157" s="9"/>
      <c r="R157" s="10"/>
    </row>
    <row r="158" spans="1:18" ht="12.6" customHeight="1" x14ac:dyDescent="0.25">
      <c r="A158" s="6">
        <v>79</v>
      </c>
      <c r="B158" s="5" t="s">
        <v>116</v>
      </c>
      <c r="C158" s="6" t="s">
        <v>20</v>
      </c>
      <c r="D158" s="5"/>
      <c r="E158" s="5" t="s">
        <v>43</v>
      </c>
      <c r="F158" s="5" t="s">
        <v>209</v>
      </c>
      <c r="G158" s="5" t="s">
        <v>144</v>
      </c>
      <c r="H158" s="7">
        <v>23</v>
      </c>
      <c r="I158" s="1">
        <v>19</v>
      </c>
      <c r="J158" s="8">
        <v>28</v>
      </c>
      <c r="K158" s="9">
        <f t="shared" si="5"/>
        <v>21655.239999999998</v>
      </c>
      <c r="L158" s="9">
        <f>12387.27+9267.97</f>
        <v>21655.239999999998</v>
      </c>
      <c r="M158" s="9"/>
      <c r="N158" s="1">
        <v>7</v>
      </c>
      <c r="O158" s="9">
        <f t="shared" si="4"/>
        <v>8557.33</v>
      </c>
      <c r="P158" s="9">
        <v>8557.33</v>
      </c>
      <c r="Q158" s="9"/>
      <c r="R158" s="10"/>
    </row>
    <row r="159" spans="1:18" ht="16.899999999999999" customHeight="1" x14ac:dyDescent="0.25">
      <c r="A159" s="6"/>
      <c r="B159" s="5" t="s">
        <v>143</v>
      </c>
      <c r="C159" s="6" t="s">
        <v>20</v>
      </c>
      <c r="D159" s="5"/>
      <c r="E159" s="5" t="s">
        <v>43</v>
      </c>
      <c r="F159" s="5" t="s">
        <v>234</v>
      </c>
      <c r="G159" s="5" t="s">
        <v>138</v>
      </c>
      <c r="H159" s="7">
        <v>21</v>
      </c>
      <c r="I159" s="2">
        <v>8</v>
      </c>
      <c r="J159" s="8">
        <v>8</v>
      </c>
      <c r="K159" s="9">
        <f t="shared" si="5"/>
        <v>14650.8</v>
      </c>
      <c r="L159" s="9">
        <v>14650.8</v>
      </c>
      <c r="M159" s="9"/>
      <c r="N159" s="2"/>
      <c r="O159" s="9">
        <f t="shared" si="4"/>
        <v>0</v>
      </c>
      <c r="P159" s="9">
        <v>0</v>
      </c>
      <c r="Q159" s="9"/>
      <c r="R159" s="10"/>
    </row>
    <row r="160" spans="1:18" ht="18" customHeight="1" x14ac:dyDescent="0.25">
      <c r="A160" s="27">
        <v>80</v>
      </c>
      <c r="B160" s="28" t="s">
        <v>117</v>
      </c>
      <c r="C160" s="27" t="s">
        <v>54</v>
      </c>
      <c r="D160" s="28" t="s">
        <v>112</v>
      </c>
      <c r="E160" s="28" t="s">
        <v>21</v>
      </c>
      <c r="F160" s="28"/>
      <c r="G160" s="28" t="s">
        <v>144</v>
      </c>
      <c r="H160" s="7">
        <v>0</v>
      </c>
      <c r="I160" s="1"/>
      <c r="J160" s="8"/>
      <c r="K160" s="9">
        <f t="shared" si="5"/>
        <v>0</v>
      </c>
      <c r="L160" s="9"/>
      <c r="M160" s="9"/>
      <c r="N160" s="1">
        <v>3</v>
      </c>
      <c r="O160" s="9">
        <f t="shared" ref="O160:O164" si="6">P160+Q160</f>
        <v>3200</v>
      </c>
      <c r="P160" s="9">
        <v>3200</v>
      </c>
      <c r="Q160" s="9"/>
      <c r="R160" s="10"/>
    </row>
    <row r="161" spans="1:18" ht="32.25" customHeight="1" x14ac:dyDescent="0.25">
      <c r="A161" s="27"/>
      <c r="B161" s="28" t="s">
        <v>117</v>
      </c>
      <c r="C161" s="27" t="s">
        <v>54</v>
      </c>
      <c r="D161" s="28" t="s">
        <v>112</v>
      </c>
      <c r="E161" s="28" t="s">
        <v>21</v>
      </c>
      <c r="F161" s="28" t="s">
        <v>238</v>
      </c>
      <c r="G161" s="28" t="s">
        <v>124</v>
      </c>
      <c r="H161" s="7">
        <v>13</v>
      </c>
      <c r="I161" s="1">
        <v>1</v>
      </c>
      <c r="J161" s="29">
        <v>1</v>
      </c>
      <c r="K161" s="9">
        <f t="shared" si="5"/>
        <v>505.2</v>
      </c>
      <c r="L161" s="9">
        <v>505.2</v>
      </c>
      <c r="M161" s="9"/>
      <c r="N161" s="1"/>
      <c r="O161" s="9">
        <f t="shared" si="6"/>
        <v>0</v>
      </c>
      <c r="P161" s="9">
        <v>0</v>
      </c>
      <c r="Q161" s="9"/>
      <c r="R161" s="10"/>
    </row>
    <row r="162" spans="1:18" ht="34.9" customHeight="1" x14ac:dyDescent="0.25">
      <c r="A162" s="27">
        <v>81</v>
      </c>
      <c r="B162" s="28" t="s">
        <v>118</v>
      </c>
      <c r="C162" s="27" t="s">
        <v>54</v>
      </c>
      <c r="D162" s="28" t="s">
        <v>119</v>
      </c>
      <c r="E162" s="28" t="s">
        <v>21</v>
      </c>
      <c r="F162" s="28" t="s">
        <v>210</v>
      </c>
      <c r="G162" s="28" t="s">
        <v>144</v>
      </c>
      <c r="H162" s="7">
        <v>50</v>
      </c>
      <c r="I162" s="1">
        <v>37</v>
      </c>
      <c r="J162" s="29">
        <v>43</v>
      </c>
      <c r="K162" s="9">
        <f t="shared" si="5"/>
        <v>34305.46</v>
      </c>
      <c r="L162" s="9">
        <f>23797.66+10507.8</f>
        <v>34305.46</v>
      </c>
      <c r="M162" s="9"/>
      <c r="N162" s="1">
        <v>19</v>
      </c>
      <c r="O162" s="9">
        <f t="shared" si="6"/>
        <v>11043.82</v>
      </c>
      <c r="P162" s="9">
        <v>11043.82</v>
      </c>
      <c r="Q162" s="9"/>
      <c r="R162" s="10"/>
    </row>
    <row r="163" spans="1:18" ht="28.5" customHeight="1" x14ac:dyDescent="0.25">
      <c r="A163" s="27">
        <v>82</v>
      </c>
      <c r="B163" s="28" t="s">
        <v>212</v>
      </c>
      <c r="C163" s="27" t="s">
        <v>20</v>
      </c>
      <c r="D163" s="28"/>
      <c r="E163" s="28" t="s">
        <v>21</v>
      </c>
      <c r="F163" s="28" t="s">
        <v>125</v>
      </c>
      <c r="G163" s="28" t="s">
        <v>144</v>
      </c>
      <c r="H163" s="7">
        <v>0</v>
      </c>
      <c r="I163" s="1"/>
      <c r="J163" s="29"/>
      <c r="K163" s="9">
        <f t="shared" si="5"/>
        <v>0</v>
      </c>
      <c r="L163" s="9"/>
      <c r="M163" s="9"/>
      <c r="N163" s="1">
        <v>3</v>
      </c>
      <c r="O163" s="9">
        <f t="shared" si="6"/>
        <v>2884.51</v>
      </c>
      <c r="P163" s="9">
        <f>2353.84+530.67</f>
        <v>2884.51</v>
      </c>
      <c r="Q163" s="9"/>
      <c r="R163" s="10"/>
    </row>
    <row r="164" spans="1:18" ht="19.5" customHeight="1" x14ac:dyDescent="0.25">
      <c r="A164" s="27">
        <v>83</v>
      </c>
      <c r="B164" s="28" t="s">
        <v>120</v>
      </c>
      <c r="C164" s="27" t="s">
        <v>20</v>
      </c>
      <c r="D164" s="28"/>
      <c r="E164" s="28" t="s">
        <v>43</v>
      </c>
      <c r="F164" s="28" t="s">
        <v>211</v>
      </c>
      <c r="G164" s="28" t="s">
        <v>144</v>
      </c>
      <c r="H164" s="7">
        <v>23</v>
      </c>
      <c r="I164" s="1">
        <v>6</v>
      </c>
      <c r="J164" s="29">
        <v>7</v>
      </c>
      <c r="K164" s="9">
        <f t="shared" si="5"/>
        <v>1000.9499999999999</v>
      </c>
      <c r="L164" s="9">
        <f>874.65+126.3</f>
        <v>1000.9499999999999</v>
      </c>
      <c r="M164" s="9"/>
      <c r="N164" s="1">
        <v>34</v>
      </c>
      <c r="O164" s="9">
        <f t="shared" si="6"/>
        <v>84856.63</v>
      </c>
      <c r="P164" s="9">
        <f>58205.75+14300.74+12350.14</f>
        <v>84856.63</v>
      </c>
      <c r="Q164" s="9"/>
      <c r="R164" s="10"/>
    </row>
    <row r="165" spans="1:18" ht="30.6" customHeight="1" x14ac:dyDescent="0.25">
      <c r="A165" s="6"/>
      <c r="B165" s="5" t="s">
        <v>120</v>
      </c>
      <c r="C165" s="6" t="s">
        <v>20</v>
      </c>
      <c r="D165" s="5"/>
      <c r="E165" s="5" t="s">
        <v>43</v>
      </c>
      <c r="F165" s="5" t="s">
        <v>239</v>
      </c>
      <c r="G165" s="5" t="s">
        <v>126</v>
      </c>
      <c r="H165" s="7">
        <v>18</v>
      </c>
      <c r="I165" s="1">
        <v>15</v>
      </c>
      <c r="J165" s="29">
        <v>15</v>
      </c>
      <c r="K165" s="9">
        <f t="shared" si="5"/>
        <v>12154.400000000001</v>
      </c>
      <c r="L165" s="9">
        <v>12154.400000000001</v>
      </c>
      <c r="M165" s="9"/>
      <c r="N165" s="1"/>
      <c r="O165" s="9">
        <f>P165+Q165</f>
        <v>0</v>
      </c>
      <c r="P165" s="9">
        <v>0</v>
      </c>
      <c r="Q165" s="9"/>
      <c r="R165" s="10"/>
    </row>
    <row r="166" spans="1:18" ht="27" customHeight="1" x14ac:dyDescent="0.25">
      <c r="A166" s="6"/>
      <c r="B166" s="5" t="s">
        <v>120</v>
      </c>
      <c r="C166" s="6" t="s">
        <v>20</v>
      </c>
      <c r="D166" s="5"/>
      <c r="E166" s="5" t="s">
        <v>43</v>
      </c>
      <c r="F166" s="5" t="s">
        <v>125</v>
      </c>
      <c r="G166" s="5" t="s">
        <v>138</v>
      </c>
      <c r="H166" s="7">
        <v>4</v>
      </c>
      <c r="I166" s="2"/>
      <c r="J166" s="8"/>
      <c r="K166" s="9">
        <f t="shared" si="5"/>
        <v>0</v>
      </c>
      <c r="L166" s="9"/>
      <c r="M166" s="9"/>
      <c r="N166" s="2"/>
      <c r="O166" s="9">
        <f>P166+Q166</f>
        <v>0</v>
      </c>
      <c r="P166" s="9">
        <v>0</v>
      </c>
      <c r="Q166" s="9"/>
      <c r="R166" s="10"/>
    </row>
    <row r="167" spans="1:18" ht="18.75" customHeight="1" thickBot="1" x14ac:dyDescent="0.3">
      <c r="A167" s="43">
        <v>83</v>
      </c>
      <c r="B167" s="44" t="s">
        <v>121</v>
      </c>
      <c r="C167" s="43" t="s">
        <v>20</v>
      </c>
      <c r="D167" s="44"/>
      <c r="E167" s="44" t="s">
        <v>21</v>
      </c>
      <c r="F167" s="44" t="s">
        <v>122</v>
      </c>
      <c r="G167" s="44" t="s">
        <v>124</v>
      </c>
      <c r="H167" s="45">
        <v>0</v>
      </c>
      <c r="I167" s="3"/>
      <c r="J167" s="46"/>
      <c r="K167" s="9">
        <f t="shared" si="5"/>
        <v>0</v>
      </c>
      <c r="L167" s="47"/>
      <c r="M167" s="47"/>
      <c r="N167" s="3"/>
      <c r="O167" s="47">
        <f>P167+Q167</f>
        <v>0</v>
      </c>
      <c r="P167" s="47">
        <v>0</v>
      </c>
      <c r="Q167" s="47"/>
      <c r="R167" s="10"/>
    </row>
    <row r="168" spans="1:18" ht="16.5" customHeight="1" x14ac:dyDescent="0.25">
      <c r="A168" s="48" t="s">
        <v>147</v>
      </c>
      <c r="B168" s="48"/>
      <c r="C168" s="49"/>
      <c r="D168" s="50"/>
      <c r="E168" s="50"/>
      <c r="F168" s="50"/>
      <c r="G168" s="50"/>
      <c r="H168" s="49">
        <f t="shared" ref="H168:Q168" si="7">SUM(H10:H167)</f>
        <v>3644</v>
      </c>
      <c r="I168" s="49">
        <f t="shared" si="7"/>
        <v>2281</v>
      </c>
      <c r="J168" s="49">
        <f t="shared" si="7"/>
        <v>2630</v>
      </c>
      <c r="K168" s="51">
        <f t="shared" si="7"/>
        <v>1921007.9499999993</v>
      </c>
      <c r="L168" s="51">
        <f t="shared" si="7"/>
        <v>1921007.9499999993</v>
      </c>
      <c r="M168" s="49">
        <f t="shared" si="7"/>
        <v>0</v>
      </c>
      <c r="N168" s="49">
        <f t="shared" si="7"/>
        <v>1252</v>
      </c>
      <c r="O168" s="49">
        <f t="shared" si="7"/>
        <v>1955938.6599999997</v>
      </c>
      <c r="P168" s="49">
        <f t="shared" si="7"/>
        <v>1955938.6599999997</v>
      </c>
      <c r="Q168" s="49">
        <f t="shared" si="7"/>
        <v>0</v>
      </c>
      <c r="R168" s="10"/>
    </row>
    <row r="169" spans="1:18" ht="15" customHeight="1" x14ac:dyDescent="0.25">
      <c r="A169" s="6"/>
      <c r="B169" s="5"/>
      <c r="C169" s="6"/>
      <c r="D169" s="5"/>
      <c r="E169" s="5"/>
      <c r="F169" s="5"/>
      <c r="G169" s="5"/>
      <c r="H169" s="52"/>
      <c r="I169" s="52"/>
      <c r="J169" s="52"/>
      <c r="K169" s="52"/>
      <c r="L169" s="52"/>
      <c r="M169" s="52"/>
      <c r="N169" s="52"/>
      <c r="O169" s="52"/>
      <c r="P169" s="6"/>
      <c r="Q169" s="6"/>
      <c r="R169" s="10"/>
    </row>
    <row r="170" spans="1:18" x14ac:dyDescent="0.25">
      <c r="R170" s="10"/>
    </row>
    <row r="171" spans="1:18" x14ac:dyDescent="0.25">
      <c r="K171" s="10"/>
      <c r="L171" s="10"/>
      <c r="M171" s="10"/>
    </row>
    <row r="172" spans="1:18" x14ac:dyDescent="0.25">
      <c r="K172" s="10"/>
      <c r="L172" s="10"/>
      <c r="N172" s="10"/>
      <c r="O172" s="10"/>
    </row>
    <row r="173" spans="1:18" x14ac:dyDescent="0.25">
      <c r="K173" s="10"/>
      <c r="L173" s="10"/>
      <c r="N173" s="10"/>
    </row>
    <row r="174" spans="1:18" x14ac:dyDescent="0.25">
      <c r="K174" s="10"/>
      <c r="L174" s="10"/>
    </row>
    <row r="175" spans="1:18" x14ac:dyDescent="0.25">
      <c r="K175" s="10"/>
      <c r="L175" s="10"/>
    </row>
    <row r="176" spans="1:18" x14ac:dyDescent="0.25">
      <c r="L176" s="10"/>
    </row>
    <row r="183" spans="12:12" x14ac:dyDescent="0.25">
      <c r="L183" s="10"/>
    </row>
  </sheetData>
  <mergeCells count="8">
    <mergeCell ref="A168:B168"/>
    <mergeCell ref="O1:Q1"/>
    <mergeCell ref="A3:Q3"/>
    <mergeCell ref="A4:Q4"/>
    <mergeCell ref="A5:Q5"/>
    <mergeCell ref="B7:G7"/>
    <mergeCell ref="H7:M7"/>
    <mergeCell ref="N7:Q7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31.12.2017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2018-01-02T16:18:05Z</dcterms:modified>
</cp:coreProperties>
</file>